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comments2.xml" ContentType="application/vnd.openxmlformats-officedocument.spreadsheetml.comments+xml"/>
  <Override PartName="/xl/tables/table7.xml" ContentType="application/vnd.openxmlformats-officedocument.spreadsheetml.table+xml"/>
  <Override PartName="/xl/tables/table8.xml" ContentType="application/vnd.openxmlformats-officedocument.spreadsheetml.table+xml"/>
  <Override PartName="/xl/comments3.xml" ContentType="application/vnd.openxmlformats-officedocument.spreadsheetml.comments+xml"/>
  <Override PartName="/xl/tables/table9.xml" ContentType="application/vnd.openxmlformats-officedocument.spreadsheetml.table+xml"/>
  <Override PartName="/xl/tables/table10.xml" ContentType="application/vnd.openxmlformats-officedocument.spreadsheetml.table+xml"/>
  <Override PartName="/xl/comments4.xml" ContentType="application/vnd.openxmlformats-officedocument.spreadsheetml.comments+xml"/>
  <Override PartName="/xl/tables/table11.xml" ContentType="application/vnd.openxmlformats-officedocument.spreadsheetml.table+xml"/>
  <Override PartName="/xl/tables/table12.xml" ContentType="application/vnd.openxmlformats-officedocument.spreadsheetml.table+xml"/>
  <Override PartName="/xl/comments5.xml" ContentType="application/vnd.openxmlformats-officedocument.spreadsheetml.comments+xml"/>
  <Override PartName="/xl/tables/table13.xml" ContentType="application/vnd.openxmlformats-officedocument.spreadsheetml.table+xml"/>
  <Override PartName="/xl/tables/table14.xml" ContentType="application/vnd.openxmlformats-officedocument.spreadsheetml.table+xml"/>
  <Override PartName="/xl/comments6.xml" ContentType="application/vnd.openxmlformats-officedocument.spreadsheetml.comments+xml"/>
  <Override PartName="/xl/tables/table15.xml" ContentType="application/vnd.openxmlformats-officedocument.spreadsheetml.table+xml"/>
  <Override PartName="/xl/tables/table16.xml" ContentType="application/vnd.openxmlformats-officedocument.spreadsheetml.table+xml"/>
  <Override PartName="/xl/comments7.xml" ContentType="application/vnd.openxmlformats-officedocument.spreadsheetml.comments+xml"/>
  <Override PartName="/xl/tables/table17.xml" ContentType="application/vnd.openxmlformats-officedocument.spreadsheetml.table+xml"/>
  <Override PartName="/xl/tables/table18.xml" ContentType="application/vnd.openxmlformats-officedocument.spreadsheetml.table+xml"/>
  <Override PartName="/xl/comments8.xml" ContentType="application/vnd.openxmlformats-officedocument.spreadsheetml.comments+xml"/>
  <Override PartName="/xl/tables/table19.xml" ContentType="application/vnd.openxmlformats-officedocument.spreadsheetml.table+xml"/>
  <Override PartName="/xl/tables/table20.xml" ContentType="application/vnd.openxmlformats-officedocument.spreadsheetml.table+xml"/>
  <Override PartName="/xl/comments9.xml" ContentType="application/vnd.openxmlformats-officedocument.spreadsheetml.comments+xml"/>
  <Override PartName="/xl/tables/table21.xml" ContentType="application/vnd.openxmlformats-officedocument.spreadsheetml.table+xml"/>
  <Override PartName="/xl/tables/table22.xml" ContentType="application/vnd.openxmlformats-officedocument.spreadsheetml.table+xml"/>
  <Override PartName="/xl/comments10.xml" ContentType="application/vnd.openxmlformats-officedocument.spreadsheetml.comments+xml"/>
  <Override PartName="/xl/tables/table23.xml" ContentType="application/vnd.openxmlformats-officedocument.spreadsheetml.table+xml"/>
  <Override PartName="/xl/tables/table24.xml" ContentType="application/vnd.openxmlformats-officedocument.spreadsheetml.table+xml"/>
  <Override PartName="/xl/comments11.xml" ContentType="application/vnd.openxmlformats-officedocument.spreadsheetml.comments+xml"/>
  <Override PartName="/xl/tables/table25.xml" ContentType="application/vnd.openxmlformats-officedocument.spreadsheetml.table+xml"/>
  <Override PartName="/xl/tables/table26.xml" ContentType="application/vnd.openxmlformats-officedocument.spreadsheetml.table+xml"/>
  <Override PartName="/xl/comments12.xml" ContentType="application/vnd.openxmlformats-officedocument.spreadsheetml.comments+xml"/>
  <Override PartName="/xl/tables/table27.xml" ContentType="application/vnd.openxmlformats-officedocument.spreadsheetml.table+xml"/>
  <Override PartName="/xl/tables/table28.xml" ContentType="application/vnd.openxmlformats-officedocument.spreadsheetml.table+xml"/>
  <Override PartName="/xl/comments13.xml" ContentType="application/vnd.openxmlformats-officedocument.spreadsheetml.comments+xml"/>
  <Override PartName="/xl/tables/table29.xml" ContentType="application/vnd.openxmlformats-officedocument.spreadsheetml.table+xml"/>
  <Override PartName="/xl/tables/table30.xml" ContentType="application/vnd.openxmlformats-officedocument.spreadsheetml.table+xml"/>
  <Override PartName="/xl/comments14.xml" ContentType="application/vnd.openxmlformats-officedocument.spreadsheetml.comments+xml"/>
  <Override PartName="/xl/tables/table31.xml" ContentType="application/vnd.openxmlformats-officedocument.spreadsheetml.table+xml"/>
  <Override PartName="/xl/tables/table32.xml" ContentType="application/vnd.openxmlformats-officedocument.spreadsheetml.table+xml"/>
  <Override PartName="/xl/comments15.xml" ContentType="application/vnd.openxmlformats-officedocument.spreadsheetml.comments+xml"/>
  <Override PartName="/xl/tables/table33.xml" ContentType="application/vnd.openxmlformats-officedocument.spreadsheetml.table+xml"/>
  <Override PartName="/xl/tables/table34.xml" ContentType="application/vnd.openxmlformats-officedocument.spreadsheetml.table+xml"/>
  <Override PartName="/xl/comments16.xml" ContentType="application/vnd.openxmlformats-officedocument.spreadsheetml.comments+xml"/>
  <Override PartName="/xl/tables/table35.xml" ContentType="application/vnd.openxmlformats-officedocument.spreadsheetml.table+xml"/>
  <Override PartName="/xl/tables/table36.xml" ContentType="application/vnd.openxmlformats-officedocument.spreadsheetml.table+xml"/>
  <Override PartName="/xl/comments17.xml" ContentType="application/vnd.openxmlformats-officedocument.spreadsheetml.comments+xml"/>
  <Override PartName="/xl/tables/table37.xml" ContentType="application/vnd.openxmlformats-officedocument.spreadsheetml.table+xml"/>
  <Override PartName="/xl/tables/table38.xml" ContentType="application/vnd.openxmlformats-officedocument.spreadsheetml.table+xml"/>
  <Override PartName="/xl/comments18.xml" ContentType="application/vnd.openxmlformats-officedocument.spreadsheetml.comments+xml"/>
  <Override PartName="/xl/tables/table39.xml" ContentType="application/vnd.openxmlformats-officedocument.spreadsheetml.table+xml"/>
  <Override PartName="/xl/tables/table40.xml" ContentType="application/vnd.openxmlformats-officedocument.spreadsheetml.table+xml"/>
  <Override PartName="/xl/comments19.xml" ContentType="application/vnd.openxmlformats-officedocument.spreadsheetml.comments+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comments20.xml" ContentType="application/vnd.openxmlformats-officedocument.spreadsheetml.comments+xml"/>
  <Override PartName="/xl/tables/table44.xml" ContentType="application/vnd.openxmlformats-officedocument.spreadsheetml.table+xml"/>
  <Override PartName="/xl/tables/table45.xml" ContentType="application/vnd.openxmlformats-officedocument.spreadsheetml.table+xml"/>
  <Override PartName="/xl/comments21.xml" ContentType="application/vnd.openxmlformats-officedocument.spreadsheetml.comments+xml"/>
  <Override PartName="/xl/tables/table46.xml" ContentType="application/vnd.openxmlformats-officedocument.spreadsheetml.table+xml"/>
  <Override PartName="/xl/tables/table47.xml" ContentType="application/vnd.openxmlformats-officedocument.spreadsheetml.table+xml"/>
  <Override PartName="/xl/comments22.xml" ContentType="application/vnd.openxmlformats-officedocument.spreadsheetml.comments+xml"/>
  <Override PartName="/xl/tables/table48.xml" ContentType="application/vnd.openxmlformats-officedocument.spreadsheetml.table+xml"/>
  <Override PartName="/xl/tables/table49.xml" ContentType="application/vnd.openxmlformats-officedocument.spreadsheetml.table+xml"/>
  <Override PartName="/xl/comments23.xml" ContentType="application/vnd.openxmlformats-officedocument.spreadsheetml.comments+xml"/>
  <Override PartName="/xl/tables/table50.xml" ContentType="application/vnd.openxmlformats-officedocument.spreadsheetml.table+xml"/>
  <Override PartName="/xl/tables/table51.xml" ContentType="application/vnd.openxmlformats-officedocument.spreadsheetml.table+xml"/>
  <Override PartName="/xl/comments24.xml" ContentType="application/vnd.openxmlformats-officedocument.spreadsheetml.comments+xml"/>
  <Override PartName="/xl/tables/table52.xml" ContentType="application/vnd.openxmlformats-officedocument.spreadsheetml.table+xml"/>
  <Override PartName="/xl/tables/table53.xml" ContentType="application/vnd.openxmlformats-officedocument.spreadsheetml.table+xml"/>
  <Override PartName="/xl/comments25.xml" ContentType="application/vnd.openxmlformats-officedocument.spreadsheetml.comments+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comments26.xml" ContentType="application/vnd.openxmlformats-officedocument.spreadsheetml.comments+xml"/>
  <Override PartName="/xl/tables/table57.xml" ContentType="application/vnd.openxmlformats-officedocument.spreadsheetml.table+xml"/>
  <Override PartName="/xl/tables/table58.xml" ContentType="application/vnd.openxmlformats-officedocument.spreadsheetml.table+xml"/>
  <Override PartName="/xl/comments27.xml" ContentType="application/vnd.openxmlformats-officedocument.spreadsheetml.comments+xml"/>
  <Override PartName="/xl/tables/table59.xml" ContentType="application/vnd.openxmlformats-officedocument.spreadsheetml.table+xml"/>
  <Override PartName="/xl/tables/table60.xml" ContentType="application/vnd.openxmlformats-officedocument.spreadsheetml.table+xml"/>
  <Override PartName="/xl/comments28.xml" ContentType="application/vnd.openxmlformats-officedocument.spreadsheetml.comments+xml"/>
  <Override PartName="/xl/tables/table61.xml" ContentType="application/vnd.openxmlformats-officedocument.spreadsheetml.table+xml"/>
  <Override PartName="/xl/tables/table62.xml" ContentType="application/vnd.openxmlformats-officedocument.spreadsheetml.table+xml"/>
  <Override PartName="/xl/comments29.xml" ContentType="application/vnd.openxmlformats-officedocument.spreadsheetml.comments+xml"/>
  <Override PartName="/xl/tables/table63.xml" ContentType="application/vnd.openxmlformats-officedocument.spreadsheetml.table+xml"/>
  <Override PartName="/xl/tables/table64.xml" ContentType="application/vnd.openxmlformats-officedocument.spreadsheetml.table+xml"/>
  <Override PartName="/xl/comments30.xml" ContentType="application/vnd.openxmlformats-officedocument.spreadsheetml.comments+xml"/>
  <Override PartName="/xl/tables/table65.xml" ContentType="application/vnd.openxmlformats-officedocument.spreadsheetml.table+xml"/>
  <Override PartName="/xl/tables/table66.xml" ContentType="application/vnd.openxmlformats-officedocument.spreadsheetml.table+xml"/>
  <Override PartName="/xl/comments31.xml" ContentType="application/vnd.openxmlformats-officedocument.spreadsheetml.comments+xml"/>
  <Override PartName="/xl/tables/table67.xml" ContentType="application/vnd.openxmlformats-officedocument.spreadsheetml.table+xml"/>
  <Override PartName="/xl/tables/table68.xml" ContentType="application/vnd.openxmlformats-officedocument.spreadsheetml.table+xml"/>
  <Override PartName="/xl/comments32.xml" ContentType="application/vnd.openxmlformats-officedocument.spreadsheetml.comments+xml"/>
  <Override PartName="/xl/tables/table69.xml" ContentType="application/vnd.openxmlformats-officedocument.spreadsheetml.table+xml"/>
  <Override PartName="/xl/tables/table70.xml" ContentType="application/vnd.openxmlformats-officedocument.spreadsheetml.table+xml"/>
  <Override PartName="/xl/drawings/drawing1.xml" ContentType="application/vnd.openxmlformats-officedocument.drawing+xml"/>
  <Override PartName="/xl/tables/table71.xml" ContentType="application/vnd.openxmlformats-officedocument.spreadsheetml.table+xml"/>
  <Override PartName="/xl/tables/table72.xml" ContentType="application/vnd.openxmlformats-officedocument.spreadsheetml.table+xml"/>
  <Override PartName="/xl/charts/chart1.xml" ContentType="application/vnd.openxmlformats-officedocument.drawingml.chart+xml"/>
  <Override PartName="/xl/tables/table73.xml" ContentType="application/vnd.openxmlformats-officedocument.spreadsheetml.table+xml"/>
  <Override PartName="/xl/tables/table74.xml" ContentType="application/vnd.openxmlformats-officedocument.spreadsheetml.table+xml"/>
  <Override PartName="/xl/comments33.xml" ContentType="application/vnd.openxmlformats-officedocument.spreadsheetml.comments+xml"/>
  <Override PartName="/xl/tables/table75.xml" ContentType="application/vnd.openxmlformats-officedocument.spreadsheetml.table+xml"/>
  <Override PartName="/xl/tables/table76.xml" ContentType="application/vnd.openxmlformats-officedocument.spreadsheetml.table+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tables/table77.xml" ContentType="application/vnd.openxmlformats-officedocument.spreadsheetml.table+xml"/>
  <Override PartName="/xl/tables/table78.xml" ContentType="application/vnd.openxmlformats-officedocument.spreadsheetml.table+xml"/>
  <Override PartName="/xl/comments37.xml" ContentType="application/vnd.openxmlformats-officedocument.spreadsheetml.comments+xml"/>
  <Override PartName="/xl/tables/table79.xml" ContentType="application/vnd.openxmlformats-officedocument.spreadsheetml.table+xml"/>
  <Override PartName="/xl/tables/table80.xml" ContentType="application/vnd.openxmlformats-officedocument.spreadsheetml.table+xml"/>
  <Override PartName="/xl/comments38.xml" ContentType="application/vnd.openxmlformats-officedocument.spreadsheetml.comments+xml"/>
  <Override PartName="/xl/tables/table81.xml" ContentType="application/vnd.openxmlformats-officedocument.spreadsheetml.table+xml"/>
  <Override PartName="/xl/tables/table82.xml" ContentType="application/vnd.openxmlformats-officedocument.spreadsheetml.table+xml"/>
  <Override PartName="/xl/comments39.xml" ContentType="application/vnd.openxmlformats-officedocument.spreadsheetml.comments+xml"/>
  <Override PartName="/xl/tables/table83.xml" ContentType="application/vnd.openxmlformats-officedocument.spreadsheetml.table+xml"/>
  <Override PartName="/xl/tables/table84.xml" ContentType="application/vnd.openxmlformats-officedocument.spreadsheetml.table+xml"/>
  <Override PartName="/xl/comments40.xml" ContentType="application/vnd.openxmlformats-officedocument.spreadsheetml.comments+xml"/>
  <Override PartName="/xl/tables/table85.xml" ContentType="application/vnd.openxmlformats-officedocument.spreadsheetml.table+xml"/>
  <Override PartName="/xl/tables/table86.xml" ContentType="application/vnd.openxmlformats-officedocument.spreadsheetml.table+xml"/>
  <Override PartName="/xl/comments41.xml" ContentType="application/vnd.openxmlformats-officedocument.spreadsheetml.comments+xml"/>
  <Override PartName="/xl/tables/table87.xml" ContentType="application/vnd.openxmlformats-officedocument.spreadsheetml.table+xml"/>
  <Override PartName="/xl/tables/table88.xml" ContentType="application/vnd.openxmlformats-officedocument.spreadsheetml.table+xml"/>
  <Override PartName="/xl/comments4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persona.ad.feds.ca\Persona\svelling\My Documents\Budget &amp; Appropriations Committee\FY2019 Budget\"/>
    </mc:Choice>
  </mc:AlternateContent>
  <xr:revisionPtr revIDLastSave="0" documentId="8_{9099E0B3-4CAB-4FCA-8C08-8B1C46964996}" xr6:coauthVersionLast="47" xr6:coauthVersionMax="47" xr10:uidLastSave="{00000000-0000-0000-0000-000000000000}"/>
  <bookViews>
    <workbookView xWindow="0" yWindow="0" windowWidth="19200" windowHeight="7515" tabRatio="938" firstSheet="52" activeTab="52" xr2:uid="{00000000-000D-0000-FFFF-FFFF00000000}"/>
  </bookViews>
  <sheets>
    <sheet name="WUSA FY2020" sheetId="55" r:id="rId1"/>
    <sheet name="Summary of Operations" sheetId="1" state="hidden" r:id="rId2"/>
    <sheet name="Gen. Operating Budget Summary" sheetId="137" r:id="rId3"/>
    <sheet name="Governance Portfolio" sheetId="63" r:id="rId4"/>
    <sheet name="President (30100)" sheetId="57" r:id="rId5"/>
    <sheet name="Student Gov (31100)" sheetId="60" r:id="rId6"/>
    <sheet name="RPO (31200)" sheetId="59" r:id="rId7"/>
    <sheet name="Elections (31300)" sheetId="58" r:id="rId8"/>
    <sheet name="Student Life Portfolio" sheetId="10" r:id="rId9"/>
    <sheet name="VP Student Life (20100)" sheetId="11" r:id="rId10"/>
    <sheet name="Orientation (32101)" sheetId="127" r:id="rId11"/>
    <sheet name="Equity Commissioner (20200)" sheetId="90" r:id="rId12"/>
    <sheet name="Director of Campus Life (21100)" sheetId="51" r:id="rId13"/>
    <sheet name="Services Manager (24100)" sheetId="62" r:id="rId14"/>
    <sheet name="Clubs (23100)" sheetId="108" r:id="rId15"/>
    <sheet name="CRT (24300)" sheetId="12" r:id="rId16"/>
    <sheet name="FoodBank (24500)" sheetId="14" r:id="rId17"/>
    <sheet name="Glow (24600)" sheetId="15" r:id="rId18"/>
    <sheet name="SCI (24900)" sheetId="22" r:id="rId19"/>
    <sheet name="Off Campus Community (24800)" sheetId="17" r:id="rId20"/>
    <sheet name="Womens Centre (25100)" sheetId="19" r:id="rId21"/>
    <sheet name="Bike Centre (24200)" sheetId="81" r:id="rId22"/>
    <sheet name="ICSN (24700)" sheetId="88" r:id="rId23"/>
    <sheet name="Co-op Connection (24400)" sheetId="82" r:id="rId24"/>
    <sheet name="Volunteer Centre (25000)" sheetId="87" r:id="rId25"/>
    <sheet name="Warrior Tribe (25200)" sheetId="92" state="hidden" r:id="rId26"/>
    <sheet name="Mates (25300)" sheetId="93" r:id="rId27"/>
    <sheet name="RAISE (25400)" sheetId="109" r:id="rId28"/>
    <sheet name="Special Events (22000)" sheetId="28" r:id="rId29"/>
    <sheet name="Education &amp; Advocacy Portfolio" sheetId="23" r:id="rId30"/>
    <sheet name="VP Education (40100)" sheetId="24" r:id="rId31"/>
    <sheet name="Academic Affairs (41100)" sheetId="52" r:id="rId32"/>
    <sheet name="Government Affairs (41200)" sheetId="136" r:id="rId33"/>
    <sheet name="Local Affairs (41300)" sheetId="53" r:id="rId34"/>
    <sheet name="OUSA (41400)" sheetId="26" r:id="rId35"/>
    <sheet name="SRO (41500)" sheetId="91" r:id="rId36"/>
    <sheet name="Operations &amp; Finance Portfolio" sheetId="7" r:id="rId37"/>
    <sheet name="VP Ops &amp; Finance (10100)" sheetId="8" r:id="rId38"/>
    <sheet name="Dir Ops &amp; Dev (11100)" sheetId="94" r:id="rId39"/>
    <sheet name="Summary of Ops &amp; Facilities" sheetId="111" r:id="rId40"/>
    <sheet name="FUB Budget (11200)" sheetId="132" state="hidden" r:id="rId41"/>
    <sheet name="INews (11300)" sheetId="130" state="hidden" r:id="rId42"/>
    <sheet name="Caffeine Dispensary (11400)" sheetId="131" state="hidden" r:id="rId43"/>
    <sheet name="Makers Kitchen (11601)" sheetId="133" state="hidden" r:id="rId44"/>
    <sheet name="SLC (15000)" sheetId="134" state="hidden" r:id="rId45"/>
    <sheet name="General Office (13000)" sheetId="116" state="hidden" r:id="rId46"/>
    <sheet name="IT (14000)" sheetId="118" state="hidden" r:id="rId47"/>
    <sheet name="Summary of Marketing &amp; Comms" sheetId="128" r:id="rId48"/>
    <sheet name="Marketing General (16100)" sheetId="119" r:id="rId49"/>
    <sheet name="Communications (16200)" sheetId="120" r:id="rId50"/>
    <sheet name="Handbook (16300)" sheetId="121" r:id="rId51"/>
    <sheet name="Marketing - Advocacy (16400)" sheetId="122" r:id="rId52"/>
    <sheet name="Marketing -CL (16500)" sheetId="123" r:id="rId53"/>
    <sheet name="Marketing - Ops &amp; Fac (16600)" sheetId="124" state="hidden" r:id="rId54"/>
    <sheet name="Marketing - Res., C&amp;S (16700)" sheetId="125" r:id="rId55"/>
  </sheets>
  <externalReferences>
    <externalReference r:id="rId56"/>
  </externalReferences>
  <definedNames>
    <definedName name="_xlnm._FilterDatabase" localSheetId="46" hidden="1">'IT (14000)'!#REF!</definedName>
    <definedName name="_xlnm._FilterDatabase" localSheetId="20" hidden="1">'Womens Centre (25100)'!$L$11:$M$21</definedName>
    <definedName name="PeriodsInYear" localSheetId="49">#REF!</definedName>
    <definedName name="PeriodsInYear" localSheetId="38">#REF!</definedName>
    <definedName name="PeriodsInYear" localSheetId="50">#REF!</definedName>
    <definedName name="PeriodsInYear" localSheetId="41">#REF!</definedName>
    <definedName name="PeriodsInYear" localSheetId="43">#REF!</definedName>
    <definedName name="PeriodsInYear" localSheetId="51">#REF!</definedName>
    <definedName name="PeriodsInYear" localSheetId="53">#REF!</definedName>
    <definedName name="PeriodsInYear" localSheetId="54">#REF!</definedName>
    <definedName name="PeriodsInYear" localSheetId="52">#REF!</definedName>
    <definedName name="PeriodsInYear" localSheetId="48">#REF!</definedName>
    <definedName name="PeriodsInYear" localSheetId="26">#REF!</definedName>
    <definedName name="PeriodsInYear" localSheetId="10">#REF!</definedName>
    <definedName name="PeriodsInYear" localSheetId="44">#REF!</definedName>
    <definedName name="PeriodsInYear" localSheetId="35">#REF!</definedName>
    <definedName name="PeriodsInYear" localSheetId="39">#REF!</definedName>
    <definedName name="PeriodsInYear" localSheetId="25">#REF!</definedName>
    <definedName name="PeriodsInYear">#REF!</definedName>
    <definedName name="Spec" localSheetId="49">#REF!</definedName>
    <definedName name="Spec" localSheetId="38">#REF!</definedName>
    <definedName name="Spec" localSheetId="50">#REF!</definedName>
    <definedName name="Spec" localSheetId="41">#REF!</definedName>
    <definedName name="Spec" localSheetId="43">#REF!</definedName>
    <definedName name="Spec" localSheetId="51">#REF!</definedName>
    <definedName name="Spec" localSheetId="53">#REF!</definedName>
    <definedName name="Spec" localSheetId="54">#REF!</definedName>
    <definedName name="Spec" localSheetId="52">#REF!</definedName>
    <definedName name="Spec" localSheetId="48">#REF!</definedName>
    <definedName name="Spec" localSheetId="26">#REF!</definedName>
    <definedName name="Spec" localSheetId="10">#REF!</definedName>
    <definedName name="Spec" localSheetId="44">#REF!</definedName>
    <definedName name="Spec" localSheetId="35">#REF!</definedName>
    <definedName name="Spec" localSheetId="39">#REF!</definedName>
    <definedName name="Spec" localSheetId="25">#REF!</definedName>
    <definedName name="Spec">#REF!</definedName>
  </definedNames>
  <calcPr calcId="191028"/>
  <customWorkbookViews>
    <customWorkbookView name="cherylp - Personal View" guid="{DC934874-AE9C-4DF4-8DA8-4394DABABB42}" mergeInterval="0" personalView="1" maximized="1" windowWidth="796" windowHeight="464" tabRatio="657" activeSheetId="34"/>
    <customWorkbookView name="suzanneb - Personal View" guid="{7FD89B2E-4983-4B8D-ABA2-A07F685A0C6E}" mergeInterval="0" personalView="1" maximized="1" windowWidth="1020" windowHeight="544" tabRatio="657" activeSheetId="37"/>
    <customWorkbookView name="Carmen Lam - Personal View" guid="{84D8AC11-A493-4338-8044-6F4154C29695}" mergeInterval="0" personalView="1" maximized="1" windowWidth="1020" windowHeight="622" tabRatio="657" activeSheetId="39"/>
    <customWorkbookView name="decapper - Personal View" guid="{BB157E55-0A2E-4D9F-A3BF-E83E5442FC27}" mergeInterval="0" personalView="1" maximized="1" windowWidth="796" windowHeight="464" tabRatio="657"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2" i="125" l="1"/>
  <c r="D19" i="128" s="1"/>
  <c r="D32" i="125"/>
  <c r="C32" i="125"/>
  <c r="E27" i="125"/>
  <c r="E32" i="125" s="1"/>
  <c r="F5" i="125"/>
  <c r="E5" i="125"/>
  <c r="C9" i="128" s="1"/>
  <c r="D5" i="125"/>
  <c r="B9" i="128" s="1"/>
  <c r="C5" i="125"/>
  <c r="F33" i="125" l="1"/>
  <c r="D9" i="128"/>
  <c r="E33" i="125"/>
  <c r="C19" i="128"/>
  <c r="C33" i="125"/>
  <c r="D33" i="125"/>
  <c r="B19" i="128"/>
  <c r="U9" i="108"/>
  <c r="U16" i="8" l="1"/>
  <c r="V26" i="24"/>
  <c r="U28" i="8"/>
  <c r="U30" i="11"/>
  <c r="U14" i="60"/>
  <c r="U15" i="60"/>
  <c r="S7" i="10" l="1"/>
  <c r="S6" i="10"/>
  <c r="S9" i="10"/>
  <c r="S10" i="10"/>
  <c r="S5" i="10"/>
  <c r="S6" i="23" l="1"/>
  <c r="S7" i="23"/>
  <c r="S8" i="23"/>
  <c r="S9" i="23"/>
  <c r="S10" i="23"/>
  <c r="S5" i="23"/>
  <c r="S11" i="23" s="1"/>
  <c r="C8" i="137" s="1"/>
  <c r="N26" i="53"/>
  <c r="N28" i="53" s="1"/>
  <c r="S19" i="23" s="1"/>
  <c r="N29" i="52"/>
  <c r="T16" i="26"/>
  <c r="T15" i="26"/>
  <c r="S16" i="23" s="1"/>
  <c r="J19" i="91"/>
  <c r="U30" i="24"/>
  <c r="K5" i="123"/>
  <c r="C8" i="128" s="1"/>
  <c r="K42" i="123"/>
  <c r="J7" i="122"/>
  <c r="C7" i="128" s="1"/>
  <c r="J29" i="122"/>
  <c r="N16" i="121"/>
  <c r="N5" i="121"/>
  <c r="C6" i="128" s="1"/>
  <c r="O5" i="120"/>
  <c r="C5" i="128" s="1"/>
  <c r="P5" i="120"/>
  <c r="O25" i="120"/>
  <c r="N16" i="119"/>
  <c r="N17" i="119"/>
  <c r="N30" i="119"/>
  <c r="N7" i="119"/>
  <c r="C4" i="128" s="1"/>
  <c r="N31" i="119" l="1"/>
  <c r="C14" i="128"/>
  <c r="O26" i="120"/>
  <c r="C15" i="128"/>
  <c r="N17" i="121"/>
  <c r="C16" i="128"/>
  <c r="C17" i="128"/>
  <c r="S14" i="23"/>
  <c r="U32" i="24"/>
  <c r="S15" i="23"/>
  <c r="J21" i="91"/>
  <c r="N31" i="52"/>
  <c r="S17" i="23"/>
  <c r="K43" i="123"/>
  <c r="C18" i="128"/>
  <c r="S20" i="23" l="1"/>
  <c r="O18" i="123"/>
  <c r="L42" i="123"/>
  <c r="S22" i="23" l="1"/>
  <c r="C15" i="137"/>
  <c r="F8" i="111"/>
  <c r="F16" i="111"/>
  <c r="F17" i="111"/>
  <c r="F28" i="111"/>
  <c r="F27" i="111"/>
  <c r="F7" i="111"/>
  <c r="F14" i="111" l="1"/>
  <c r="F5" i="111"/>
  <c r="F25" i="111"/>
  <c r="C19" i="111"/>
  <c r="C10" i="111"/>
  <c r="F4" i="111" l="1"/>
  <c r="F24" i="111"/>
  <c r="F13" i="111"/>
  <c r="F6" i="111"/>
  <c r="F15" i="111"/>
  <c r="F26" i="111"/>
  <c r="D19" i="111" l="1"/>
  <c r="F29" i="111" l="1"/>
  <c r="C47" i="111"/>
  <c r="C46" i="111"/>
  <c r="R18" i="23" l="1"/>
  <c r="R9" i="23"/>
  <c r="R19" i="136"/>
  <c r="Q21" i="136"/>
  <c r="P21" i="136"/>
  <c r="O19" i="136"/>
  <c r="N19" i="136"/>
  <c r="M19" i="136"/>
  <c r="L19" i="136"/>
  <c r="K19" i="136"/>
  <c r="J19" i="136"/>
  <c r="I19" i="136"/>
  <c r="H19" i="136"/>
  <c r="G19" i="136"/>
  <c r="F19" i="136"/>
  <c r="E19" i="136"/>
  <c r="D19" i="136"/>
  <c r="C19" i="136"/>
  <c r="O6" i="136"/>
  <c r="N6" i="136"/>
  <c r="M6" i="136"/>
  <c r="L6" i="136"/>
  <c r="K6" i="136"/>
  <c r="J6" i="136"/>
  <c r="I6" i="136"/>
  <c r="H6" i="136"/>
  <c r="G6" i="136"/>
  <c r="F6" i="136"/>
  <c r="E6" i="136"/>
  <c r="D6" i="136"/>
  <c r="C6" i="136"/>
  <c r="R21" i="136" l="1"/>
  <c r="T18" i="23"/>
  <c r="J21" i="136"/>
  <c r="F21" i="136"/>
  <c r="N21" i="136"/>
  <c r="D21" i="136"/>
  <c r="H21" i="136"/>
  <c r="L21" i="136"/>
  <c r="E21" i="136"/>
  <c r="I21" i="136"/>
  <c r="M21" i="136"/>
  <c r="C21" i="136"/>
  <c r="G21" i="136"/>
  <c r="K21" i="136"/>
  <c r="O21" i="136"/>
  <c r="F31" i="111" l="1"/>
  <c r="S32" i="7" l="1"/>
  <c r="J15" i="90" l="1"/>
  <c r="J17" i="90" s="1"/>
  <c r="T8" i="15"/>
  <c r="N15" i="51" l="1"/>
  <c r="N24" i="51"/>
  <c r="S33" i="10" s="1"/>
  <c r="T62" i="28" l="1"/>
  <c r="T70" i="28"/>
  <c r="S48" i="10" s="1"/>
  <c r="T18" i="28"/>
  <c r="S25" i="10" s="1"/>
  <c r="T72" i="28" l="1"/>
  <c r="U11" i="26" l="1"/>
  <c r="T22" i="12"/>
  <c r="T28" i="12" s="1"/>
  <c r="T8" i="12"/>
  <c r="T24" i="108"/>
  <c r="T32" i="108" s="1"/>
  <c r="S35" i="10" s="1"/>
  <c r="T10" i="108"/>
  <c r="S11" i="10" s="1"/>
  <c r="N17" i="62"/>
  <c r="N22" i="62" s="1"/>
  <c r="T23" i="127"/>
  <c r="T33" i="11"/>
  <c r="S29" i="10" s="1"/>
  <c r="S9" i="63"/>
  <c r="S8" i="63"/>
  <c r="S7" i="63"/>
  <c r="S5" i="63"/>
  <c r="S6" i="63"/>
  <c r="T23" i="58"/>
  <c r="T20" i="59"/>
  <c r="T34" i="60"/>
  <c r="T30" i="57"/>
  <c r="T34" i="57" s="1"/>
  <c r="T30" i="8"/>
  <c r="T32" i="8" s="1"/>
  <c r="J19" i="94"/>
  <c r="J21" i="94"/>
  <c r="S13" i="63" l="1"/>
  <c r="T35" i="57"/>
  <c r="S14" i="63" s="1"/>
  <c r="T35" i="60"/>
  <c r="S17" i="63"/>
  <c r="S16" i="63"/>
  <c r="T22" i="59"/>
  <c r="T25" i="58"/>
  <c r="S15" i="63"/>
  <c r="S10" i="63"/>
  <c r="C5" i="137" s="1"/>
  <c r="T25" i="127"/>
  <c r="S30" i="10"/>
  <c r="S34" i="10"/>
  <c r="N24" i="62"/>
  <c r="T30" i="12"/>
  <c r="T35" i="11"/>
  <c r="S18" i="63"/>
  <c r="C12" i="137" s="1"/>
  <c r="T34" i="108"/>
  <c r="S49" i="10" l="1"/>
  <c r="C14" i="137" s="1"/>
  <c r="C45" i="111"/>
  <c r="C34" i="111"/>
  <c r="R6" i="23" l="1"/>
  <c r="T5" i="23"/>
  <c r="T6" i="23"/>
  <c r="R5" i="23"/>
  <c r="T32" i="10"/>
  <c r="T5" i="10"/>
  <c r="T8" i="10"/>
  <c r="T10" i="10"/>
  <c r="T14" i="10"/>
  <c r="T21" i="10"/>
  <c r="R21" i="10"/>
  <c r="R10" i="10"/>
  <c r="R7" i="10"/>
  <c r="W7" i="10" s="1"/>
  <c r="R5" i="10"/>
  <c r="W24" i="10"/>
  <c r="F7" i="128"/>
  <c r="D5" i="128"/>
  <c r="S34" i="60"/>
  <c r="T8" i="63"/>
  <c r="T5" i="63"/>
  <c r="R9" i="63"/>
  <c r="R8" i="63"/>
  <c r="R5" i="63"/>
  <c r="R17" i="63" l="1"/>
  <c r="S35" i="60"/>
  <c r="C21" i="111"/>
  <c r="C36" i="111"/>
  <c r="W21" i="10"/>
  <c r="W10" i="10"/>
  <c r="W5" i="10"/>
  <c r="F19" i="111" l="1"/>
  <c r="C44" i="111"/>
  <c r="C48" i="111" s="1"/>
  <c r="W14" i="63"/>
  <c r="E19" i="109"/>
  <c r="T47" i="10" s="1"/>
  <c r="L33" i="88" l="1"/>
  <c r="T43" i="10" l="1"/>
  <c r="T9" i="17"/>
  <c r="T16" i="10" s="1"/>
  <c r="U6" i="60" l="1"/>
  <c r="T9" i="63" s="1"/>
  <c r="K7" i="122"/>
  <c r="D7" i="128" s="1"/>
  <c r="U6" i="127" l="1"/>
  <c r="T6" i="10" s="1"/>
  <c r="U23" i="127"/>
  <c r="T30" i="10" s="1"/>
  <c r="S23" i="127"/>
  <c r="R30" i="10" s="1"/>
  <c r="R23" i="127"/>
  <c r="Q23" i="127"/>
  <c r="Q25" i="127" s="1"/>
  <c r="P30" i="10" s="1"/>
  <c r="P23" i="127"/>
  <c r="P25" i="127" s="1"/>
  <c r="O23" i="127"/>
  <c r="N23" i="127"/>
  <c r="M23" i="127"/>
  <c r="L23" i="127"/>
  <c r="K23" i="127"/>
  <c r="J23" i="127"/>
  <c r="I23" i="127"/>
  <c r="H23" i="127"/>
  <c r="G23" i="127"/>
  <c r="F23" i="127"/>
  <c r="E23" i="127"/>
  <c r="D23" i="127"/>
  <c r="C23" i="127"/>
  <c r="S6" i="127"/>
  <c r="R6" i="127"/>
  <c r="O6" i="127"/>
  <c r="N6" i="127"/>
  <c r="M6" i="127"/>
  <c r="L6" i="127"/>
  <c r="K6" i="127"/>
  <c r="J6" i="127"/>
  <c r="I6" i="127"/>
  <c r="H6" i="127"/>
  <c r="G6" i="127"/>
  <c r="F6" i="127"/>
  <c r="E6" i="127"/>
  <c r="D6" i="127"/>
  <c r="C6" i="127"/>
  <c r="I25" i="127" l="1"/>
  <c r="J25" i="127"/>
  <c r="N25" i="127"/>
  <c r="R25" i="127"/>
  <c r="Q30" i="10" s="1"/>
  <c r="E25" i="127"/>
  <c r="M25" i="127"/>
  <c r="F25" i="127"/>
  <c r="G25" i="127"/>
  <c r="C25" i="127"/>
  <c r="K25" i="127"/>
  <c r="O25" i="127"/>
  <c r="W30" i="10"/>
  <c r="D25" i="127"/>
  <c r="H25" i="127"/>
  <c r="L25" i="127"/>
  <c r="S25" i="127"/>
  <c r="R6" i="10"/>
  <c r="W6" i="10"/>
  <c r="U25" i="127"/>
  <c r="C11" i="128"/>
  <c r="C5" i="123"/>
  <c r="D5" i="123"/>
  <c r="E5" i="123"/>
  <c r="F5" i="123"/>
  <c r="G5" i="123"/>
  <c r="H5" i="123"/>
  <c r="I5" i="123"/>
  <c r="J5" i="123"/>
  <c r="B8" i="128" s="1"/>
  <c r="L5" i="123"/>
  <c r="D8" i="128" s="1"/>
  <c r="I19" i="123"/>
  <c r="I42" i="123" s="1"/>
  <c r="C42" i="123"/>
  <c r="D42" i="123"/>
  <c r="E42" i="123"/>
  <c r="F42" i="123"/>
  <c r="G42" i="123"/>
  <c r="H42" i="123"/>
  <c r="J42" i="123"/>
  <c r="B18" i="128" s="1"/>
  <c r="C7" i="122"/>
  <c r="D7" i="122"/>
  <c r="E7" i="122"/>
  <c r="F7" i="122"/>
  <c r="J30" i="122" s="1"/>
  <c r="G7" i="122"/>
  <c r="H7" i="122"/>
  <c r="I7" i="122"/>
  <c r="B7" i="128" s="1"/>
  <c r="C29" i="122"/>
  <c r="D29" i="122"/>
  <c r="E29" i="122"/>
  <c r="F29" i="122"/>
  <c r="G29" i="122"/>
  <c r="H29" i="122"/>
  <c r="I29" i="122"/>
  <c r="B17" i="128" s="1"/>
  <c r="K29" i="122"/>
  <c r="D17" i="128" s="1"/>
  <c r="F17" i="128" s="1"/>
  <c r="C5" i="121"/>
  <c r="D5" i="121"/>
  <c r="E5" i="121"/>
  <c r="F5" i="121"/>
  <c r="G5" i="121"/>
  <c r="H5" i="121"/>
  <c r="I5" i="121"/>
  <c r="J5" i="121"/>
  <c r="K5" i="121"/>
  <c r="L5" i="121"/>
  <c r="M5" i="121"/>
  <c r="O5" i="121"/>
  <c r="D6" i="128" s="1"/>
  <c r="C16" i="121"/>
  <c r="D16" i="121"/>
  <c r="E16" i="121"/>
  <c r="F16" i="121"/>
  <c r="G16" i="121"/>
  <c r="H16" i="121"/>
  <c r="H17" i="121" s="1"/>
  <c r="I16" i="121"/>
  <c r="J16" i="121"/>
  <c r="K16" i="121"/>
  <c r="L16" i="121"/>
  <c r="M16" i="121"/>
  <c r="B16" i="128" s="1"/>
  <c r="O16" i="121"/>
  <c r="D16" i="128" s="1"/>
  <c r="D17" i="121"/>
  <c r="L17" i="121"/>
  <c r="C5" i="120"/>
  <c r="D5" i="120"/>
  <c r="E5" i="120"/>
  <c r="F5" i="120"/>
  <c r="G5" i="120"/>
  <c r="H5" i="120"/>
  <c r="I5" i="120"/>
  <c r="J5" i="120"/>
  <c r="K5" i="120"/>
  <c r="L5" i="120"/>
  <c r="M5" i="120"/>
  <c r="N5" i="120"/>
  <c r="C25" i="120"/>
  <c r="D25" i="120"/>
  <c r="D26" i="120" s="1"/>
  <c r="E25" i="120"/>
  <c r="E26" i="120" s="1"/>
  <c r="F25" i="120"/>
  <c r="G25" i="120"/>
  <c r="H25" i="120"/>
  <c r="H26" i="120" s="1"/>
  <c r="I25" i="120"/>
  <c r="I26" i="120" s="1"/>
  <c r="J25" i="120"/>
  <c r="K25" i="120"/>
  <c r="L25" i="120"/>
  <c r="L26" i="120" s="1"/>
  <c r="M25" i="120"/>
  <c r="M26" i="120" s="1"/>
  <c r="N25" i="120"/>
  <c r="B15" i="128" s="1"/>
  <c r="P25" i="120"/>
  <c r="D15" i="128" s="1"/>
  <c r="F15" i="128" s="1"/>
  <c r="C26" i="120"/>
  <c r="G26" i="120"/>
  <c r="C7" i="119"/>
  <c r="D7" i="119"/>
  <c r="E7" i="119"/>
  <c r="F7" i="119"/>
  <c r="G7" i="119"/>
  <c r="H7" i="119"/>
  <c r="I7" i="119"/>
  <c r="J7" i="119"/>
  <c r="K7" i="119"/>
  <c r="L7" i="119"/>
  <c r="O7" i="119"/>
  <c r="D4" i="128" s="1"/>
  <c r="M12" i="119"/>
  <c r="L27" i="119"/>
  <c r="L30" i="119" s="1"/>
  <c r="L31" i="119" s="1"/>
  <c r="I28" i="119"/>
  <c r="C30" i="119"/>
  <c r="C31" i="119" s="1"/>
  <c r="D30" i="119"/>
  <c r="E30" i="119"/>
  <c r="F30" i="119"/>
  <c r="F31" i="119" s="1"/>
  <c r="G30" i="119"/>
  <c r="G31" i="119" s="1"/>
  <c r="H30" i="119"/>
  <c r="I30" i="119"/>
  <c r="J30" i="119"/>
  <c r="K30" i="119"/>
  <c r="K31" i="119" s="1"/>
  <c r="M30" i="119"/>
  <c r="B14" i="128" s="1"/>
  <c r="H31" i="119"/>
  <c r="J31" i="119"/>
  <c r="S11" i="7" l="1"/>
  <c r="C21" i="128"/>
  <c r="S21" i="7" s="1"/>
  <c r="C13" i="137" s="1"/>
  <c r="C16" i="137" s="1"/>
  <c r="H43" i="123"/>
  <c r="D43" i="123"/>
  <c r="F43" i="123"/>
  <c r="I43" i="123"/>
  <c r="E43" i="123"/>
  <c r="G43" i="123"/>
  <c r="C43" i="123"/>
  <c r="H30" i="122"/>
  <c r="C17" i="121"/>
  <c r="G17" i="121"/>
  <c r="K17" i="121"/>
  <c r="F16" i="128"/>
  <c r="J17" i="121"/>
  <c r="F17" i="121"/>
  <c r="M17" i="121"/>
  <c r="B6" i="128"/>
  <c r="F6" i="128" s="1"/>
  <c r="I17" i="121"/>
  <c r="E17" i="121"/>
  <c r="K26" i="120"/>
  <c r="N26" i="120"/>
  <c r="B5" i="128"/>
  <c r="J26" i="120"/>
  <c r="F26" i="120"/>
  <c r="E31" i="119"/>
  <c r="D31" i="119"/>
  <c r="I31" i="119"/>
  <c r="B21" i="128"/>
  <c r="F19" i="128"/>
  <c r="F20" i="128"/>
  <c r="P26" i="120"/>
  <c r="J43" i="123"/>
  <c r="L43" i="123"/>
  <c r="D18" i="128"/>
  <c r="F18" i="128" s="1"/>
  <c r="D30" i="122"/>
  <c r="E30" i="122"/>
  <c r="G30" i="122"/>
  <c r="I30" i="122"/>
  <c r="C30" i="122"/>
  <c r="K30" i="122"/>
  <c r="F30" i="122"/>
  <c r="O17" i="121"/>
  <c r="M7" i="119"/>
  <c r="O30" i="119"/>
  <c r="C23" i="128" l="1"/>
  <c r="C6" i="137"/>
  <c r="S23" i="7"/>
  <c r="F10" i="128"/>
  <c r="M31" i="119"/>
  <c r="B36" i="119" s="1"/>
  <c r="B4" i="128"/>
  <c r="D11" i="128"/>
  <c r="D14" i="128"/>
  <c r="F14" i="128" s="1"/>
  <c r="O31" i="119"/>
  <c r="O36" i="119" s="1"/>
  <c r="B11" i="128" l="1"/>
  <c r="F11" i="128" s="1"/>
  <c r="F4" i="128"/>
  <c r="D21" i="128"/>
  <c r="W19" i="7" l="1"/>
  <c r="S33" i="7"/>
  <c r="D23" i="128"/>
  <c r="F21" i="128"/>
  <c r="W10" i="7"/>
  <c r="B23" i="128"/>
  <c r="F32" i="111"/>
  <c r="F23" i="128" l="1"/>
  <c r="S31" i="7" l="1"/>
  <c r="W17" i="7"/>
  <c r="B19" i="111"/>
  <c r="B34" i="111"/>
  <c r="B10" i="111"/>
  <c r="B21" i="111" l="1"/>
  <c r="B36" i="111"/>
  <c r="R11" i="7"/>
  <c r="B6" i="137" s="1"/>
  <c r="U34" i="60"/>
  <c r="T17" i="63" l="1"/>
  <c r="U35" i="60"/>
  <c r="U10" i="8"/>
  <c r="U11" i="8"/>
  <c r="T28" i="15" l="1"/>
  <c r="T38" i="10" s="1"/>
  <c r="U30" i="8"/>
  <c r="S28" i="7" s="1"/>
  <c r="P6" i="53"/>
  <c r="O29" i="52"/>
  <c r="T17" i="23" s="1"/>
  <c r="O6" i="52"/>
  <c r="U15" i="26"/>
  <c r="T16" i="23" s="1"/>
  <c r="U32" i="108"/>
  <c r="T35" i="10" s="1"/>
  <c r="V32" i="108"/>
  <c r="V34" i="108" s="1"/>
  <c r="O24" i="51"/>
  <c r="O7" i="51"/>
  <c r="T9" i="10" s="1"/>
  <c r="O22" i="62"/>
  <c r="T34" i="10" s="1"/>
  <c r="T8" i="23" l="1"/>
  <c r="O31" i="52"/>
  <c r="O26" i="51"/>
  <c r="T33" i="10"/>
  <c r="H16" i="93"/>
  <c r="T46" i="10" s="1"/>
  <c r="H6" i="93"/>
  <c r="T22" i="10" s="1"/>
  <c r="I6" i="93"/>
  <c r="J19" i="87"/>
  <c r="T45" i="10" s="1"/>
  <c r="H18" i="93" l="1"/>
  <c r="J21" i="87"/>
  <c r="J9" i="82"/>
  <c r="T20" i="10" s="1"/>
  <c r="J21" i="82"/>
  <c r="T44" i="10" s="1"/>
  <c r="J23" i="82" l="1"/>
  <c r="L18" i="88"/>
  <c r="L12" i="88"/>
  <c r="L35" i="88" s="1"/>
  <c r="L20" i="88" l="1"/>
  <c r="T19" i="10" s="1"/>
  <c r="J28" i="81"/>
  <c r="T42" i="10" s="1"/>
  <c r="J7" i="81" l="1"/>
  <c r="T18" i="10" s="1"/>
  <c r="J30" i="81" l="1"/>
  <c r="T36" i="19"/>
  <c r="T41" i="10" s="1"/>
  <c r="T8" i="19"/>
  <c r="T17" i="10" s="1"/>
  <c r="T30" i="17"/>
  <c r="T40" i="10" s="1"/>
  <c r="T32" i="17"/>
  <c r="T49" i="22"/>
  <c r="T39" i="10" s="1"/>
  <c r="T8" i="22"/>
  <c r="T15" i="10" s="1"/>
  <c r="T39" i="19" l="1"/>
  <c r="T51" i="22"/>
  <c r="T30" i="15"/>
  <c r="T22" i="14"/>
  <c r="T37" i="10" s="1"/>
  <c r="T7" i="14"/>
  <c r="T13" i="10" s="1"/>
  <c r="U8" i="12"/>
  <c r="T12" i="10" s="1"/>
  <c r="U28" i="12"/>
  <c r="T36" i="10" s="1"/>
  <c r="U10" i="108"/>
  <c r="T11" i="10" s="1"/>
  <c r="U30" i="12" l="1"/>
  <c r="T24" i="14"/>
  <c r="U34" i="108"/>
  <c r="O24" i="62"/>
  <c r="U10" i="11"/>
  <c r="U9" i="11"/>
  <c r="U33" i="11" s="1"/>
  <c r="T29" i="10" s="1"/>
  <c r="V13" i="24"/>
  <c r="U70" i="28"/>
  <c r="T48" i="10" s="1"/>
  <c r="U18" i="28"/>
  <c r="T25" i="10" s="1"/>
  <c r="O26" i="53"/>
  <c r="T19" i="23" s="1"/>
  <c r="O6" i="53"/>
  <c r="T10" i="23" s="1"/>
  <c r="U16" i="26"/>
  <c r="U7" i="26"/>
  <c r="T7" i="23" s="1"/>
  <c r="K19" i="91"/>
  <c r="T11" i="23" l="1"/>
  <c r="D8" i="137" s="1"/>
  <c r="K21" i="91"/>
  <c r="T15" i="23"/>
  <c r="U35" i="11"/>
  <c r="O28" i="53"/>
  <c r="U72" i="28"/>
  <c r="T49" i="10" l="1"/>
  <c r="V10" i="24"/>
  <c r="V9" i="24"/>
  <c r="D14" i="137" l="1"/>
  <c r="V30" i="24"/>
  <c r="U10" i="57"/>
  <c r="U9" i="57"/>
  <c r="U34" i="57"/>
  <c r="U20" i="59"/>
  <c r="U23" i="58"/>
  <c r="T15" i="63" s="1"/>
  <c r="U6" i="58"/>
  <c r="T7" i="63" s="1"/>
  <c r="T10" i="63" s="1"/>
  <c r="D5" i="137" s="1"/>
  <c r="K10" i="94"/>
  <c r="K19" i="94" s="1"/>
  <c r="T14" i="23" l="1"/>
  <c r="T20" i="23" s="1"/>
  <c r="D15" i="137" s="1"/>
  <c r="V32" i="24"/>
  <c r="U22" i="59"/>
  <c r="T16" i="63"/>
  <c r="D34" i="111"/>
  <c r="K5" i="94"/>
  <c r="K6" i="94" s="1"/>
  <c r="U35" i="57"/>
  <c r="T13" i="63"/>
  <c r="U25" i="58"/>
  <c r="T18" i="63" l="1"/>
  <c r="T20" i="63"/>
  <c r="D12" i="137"/>
  <c r="T22" i="23"/>
  <c r="W16" i="7"/>
  <c r="F34" i="111"/>
  <c r="S29" i="7"/>
  <c r="K21" i="94"/>
  <c r="U32" i="8"/>
  <c r="T21" i="7" l="1"/>
  <c r="D13" i="137" s="1"/>
  <c r="D16" i="137" s="1"/>
  <c r="D19" i="109" l="1"/>
  <c r="C19" i="109"/>
  <c r="R47" i="10" s="1"/>
  <c r="E7" i="109"/>
  <c r="D7" i="109"/>
  <c r="S23" i="10" s="1"/>
  <c r="S26" i="10" s="1"/>
  <c r="C7" i="109"/>
  <c r="R23" i="10" s="1"/>
  <c r="C7" i="137" l="1"/>
  <c r="C9" i="137" s="1"/>
  <c r="C18" i="137" s="1"/>
  <c r="S51" i="10"/>
  <c r="E21" i="109"/>
  <c r="T23" i="10"/>
  <c r="C21" i="109"/>
  <c r="D21" i="109"/>
  <c r="T26" i="10" l="1"/>
  <c r="W23" i="10"/>
  <c r="S8" i="12"/>
  <c r="R12" i="10" s="1"/>
  <c r="W12" i="10" s="1"/>
  <c r="D7" i="137" l="1"/>
  <c r="T51" i="10"/>
  <c r="R35" i="57"/>
  <c r="Q13" i="63" s="1"/>
  <c r="I17" i="90"/>
  <c r="S16" i="26" l="1"/>
  <c r="S30" i="17" l="1"/>
  <c r="R40" i="10" s="1"/>
  <c r="I19" i="94" l="1"/>
  <c r="I21" i="94" l="1"/>
  <c r="W15" i="7"/>
  <c r="R34" i="57"/>
  <c r="S34" i="57"/>
  <c r="H16" i="94"/>
  <c r="H19" i="94" s="1"/>
  <c r="H21" i="94" s="1"/>
  <c r="Q15" i="7" s="1"/>
  <c r="S35" i="57" l="1"/>
  <c r="R13" i="63"/>
  <c r="R28" i="12"/>
  <c r="W13" i="63" l="1"/>
  <c r="S33" i="11"/>
  <c r="R29" i="10" s="1"/>
  <c r="S10" i="108"/>
  <c r="R11" i="10" s="1"/>
  <c r="W11" i="10" s="1"/>
  <c r="K33" i="88"/>
  <c r="R43" i="10" s="1"/>
  <c r="W29" i="10" l="1"/>
  <c r="T30" i="24"/>
  <c r="R14" i="23" s="1"/>
  <c r="S30" i="8"/>
  <c r="R20" i="59"/>
  <c r="Q16" i="63" s="1"/>
  <c r="R21" i="7" l="1"/>
  <c r="B13" i="137" s="1"/>
  <c r="W14" i="7"/>
  <c r="I15" i="90"/>
  <c r="R31" i="10" s="1"/>
  <c r="W31" i="10" s="1"/>
  <c r="R23" i="7" l="1"/>
  <c r="W20" i="7"/>
  <c r="S35" i="11"/>
  <c r="S70" i="28"/>
  <c r="R48" i="10" s="1"/>
  <c r="S18" i="28"/>
  <c r="R25" i="10" s="1"/>
  <c r="W25" i="10" l="1"/>
  <c r="S72" i="28"/>
  <c r="R34" i="60"/>
  <c r="R35" i="60" s="1"/>
  <c r="S23" i="58"/>
  <c r="R15" i="63" l="1"/>
  <c r="W17" i="63"/>
  <c r="S6" i="58"/>
  <c r="S25" i="58" s="1"/>
  <c r="R23" i="58"/>
  <c r="R6" i="58"/>
  <c r="S20" i="59"/>
  <c r="R16" i="63" s="1"/>
  <c r="W15" i="63" l="1"/>
  <c r="R7" i="63"/>
  <c r="R10" i="63" s="1"/>
  <c r="B5" i="137" s="1"/>
  <c r="R18" i="63"/>
  <c r="B12" i="137" s="1"/>
  <c r="Q15" i="63"/>
  <c r="R25" i="58"/>
  <c r="S22" i="59"/>
  <c r="M24" i="51"/>
  <c r="M7" i="51"/>
  <c r="R9" i="10" s="1"/>
  <c r="L24" i="51"/>
  <c r="R33" i="10" l="1"/>
  <c r="N26" i="51"/>
  <c r="W9" i="10"/>
  <c r="W18" i="63"/>
  <c r="R20" i="63"/>
  <c r="W20" i="63" s="1"/>
  <c r="W16" i="63"/>
  <c r="M26" i="51"/>
  <c r="S36" i="19"/>
  <c r="R41" i="10" s="1"/>
  <c r="S8" i="19"/>
  <c r="R17" i="10" s="1"/>
  <c r="W17" i="10" s="1"/>
  <c r="W33" i="10" l="1"/>
  <c r="W41" i="10"/>
  <c r="S39" i="19"/>
  <c r="G17" i="92"/>
  <c r="G6" i="92"/>
  <c r="G19" i="92" l="1"/>
  <c r="I19" i="87"/>
  <c r="R45" i="10" s="1"/>
  <c r="I21" i="87" l="1"/>
  <c r="W47" i="10"/>
  <c r="M22" i="62"/>
  <c r="R34" i="10" s="1"/>
  <c r="L22" i="62"/>
  <c r="Q34" i="10" s="1"/>
  <c r="M24" i="62" l="1"/>
  <c r="S49" i="22"/>
  <c r="R39" i="10" s="1"/>
  <c r="S8" i="22"/>
  <c r="R15" i="10" s="1"/>
  <c r="W15" i="10" s="1"/>
  <c r="R8" i="22"/>
  <c r="W34" i="10" l="1"/>
  <c r="W39" i="10"/>
  <c r="S51" i="22"/>
  <c r="R9" i="17"/>
  <c r="S9" i="17"/>
  <c r="R16" i="10" s="1"/>
  <c r="W16" i="10" s="1"/>
  <c r="W40" i="10" l="1"/>
  <c r="S32" i="17"/>
  <c r="G16" i="93"/>
  <c r="R46" i="10" s="1"/>
  <c r="G6" i="93"/>
  <c r="R22" i="10" s="1"/>
  <c r="W22" i="10" s="1"/>
  <c r="G18" i="93" l="1"/>
  <c r="K18" i="88"/>
  <c r="K12" i="88"/>
  <c r="W48" i="10" l="1"/>
  <c r="K35" i="88"/>
  <c r="K20" i="88"/>
  <c r="R19" i="10" s="1"/>
  <c r="W19" i="10" s="1"/>
  <c r="S28" i="15"/>
  <c r="R38" i="10" s="1"/>
  <c r="S8" i="15"/>
  <c r="R14" i="10" s="1"/>
  <c r="W14" i="10" s="1"/>
  <c r="W43" i="10" l="1"/>
  <c r="S30" i="15"/>
  <c r="W38" i="10"/>
  <c r="S22" i="14"/>
  <c r="R37" i="10" s="1"/>
  <c r="S7" i="14"/>
  <c r="R13" i="10" s="1"/>
  <c r="W13" i="10" l="1"/>
  <c r="W37" i="10"/>
  <c r="S28" i="12"/>
  <c r="R36" i="10" s="1"/>
  <c r="I21" i="82"/>
  <c r="R44" i="10" s="1"/>
  <c r="I9" i="82"/>
  <c r="R20" i="10" s="1"/>
  <c r="W20" i="10" s="1"/>
  <c r="I23" i="82" l="1"/>
  <c r="S30" i="12"/>
  <c r="W36" i="10"/>
  <c r="I28" i="81"/>
  <c r="R42" i="10" s="1"/>
  <c r="I7" i="81"/>
  <c r="R18" i="10" s="1"/>
  <c r="W18" i="10" l="1"/>
  <c r="R26" i="10"/>
  <c r="W46" i="10"/>
  <c r="W44" i="10"/>
  <c r="I30" i="81"/>
  <c r="S32" i="108"/>
  <c r="R35" i="10" s="1"/>
  <c r="W26" i="10" l="1"/>
  <c r="B7" i="137"/>
  <c r="W45" i="10"/>
  <c r="W42" i="10"/>
  <c r="W35" i="10"/>
  <c r="R49" i="10"/>
  <c r="S34" i="108"/>
  <c r="S32" i="8"/>
  <c r="R51" i="10" l="1"/>
  <c r="W51" i="10" s="1"/>
  <c r="B14" i="137"/>
  <c r="W49" i="10"/>
  <c r="I19" i="91"/>
  <c r="S15" i="26"/>
  <c r="R16" i="23" s="1"/>
  <c r="M29" i="52"/>
  <c r="R17" i="23" s="1"/>
  <c r="M26" i="53"/>
  <c r="R19" i="23" s="1"/>
  <c r="M6" i="53"/>
  <c r="R10" i="23" s="1"/>
  <c r="M6" i="52"/>
  <c r="R8" i="23" s="1"/>
  <c r="S7" i="26"/>
  <c r="R7" i="23" s="1"/>
  <c r="T32" i="24"/>
  <c r="I21" i="91" l="1"/>
  <c r="R15" i="23"/>
  <c r="R11" i="23"/>
  <c r="B8" i="137" s="1"/>
  <c r="B9" i="137" s="1"/>
  <c r="M28" i="53"/>
  <c r="M31" i="52"/>
  <c r="R22" i="59"/>
  <c r="L26" i="53"/>
  <c r="L6" i="53"/>
  <c r="L29" i="52"/>
  <c r="L6" i="52"/>
  <c r="R15" i="26"/>
  <c r="R7" i="26"/>
  <c r="H19" i="91"/>
  <c r="H6" i="91"/>
  <c r="S30" i="24"/>
  <c r="S6" i="24"/>
  <c r="L24" i="62"/>
  <c r="R70" i="28"/>
  <c r="R18" i="28"/>
  <c r="Q70" i="28"/>
  <c r="F16" i="93"/>
  <c r="F6" i="93"/>
  <c r="F17" i="92"/>
  <c r="F6" i="92"/>
  <c r="H19" i="87"/>
  <c r="H6" i="87"/>
  <c r="H21" i="82"/>
  <c r="H9" i="82"/>
  <c r="J33" i="88"/>
  <c r="J18" i="88"/>
  <c r="J12" i="88"/>
  <c r="H28" i="81"/>
  <c r="H7" i="81"/>
  <c r="R36" i="19"/>
  <c r="R8" i="19"/>
  <c r="R30" i="17"/>
  <c r="R49" i="22"/>
  <c r="R28" i="15"/>
  <c r="R8" i="15"/>
  <c r="R22" i="14"/>
  <c r="R7" i="14"/>
  <c r="R8" i="12"/>
  <c r="Q36" i="10" s="1"/>
  <c r="R20" i="108"/>
  <c r="R32" i="108" s="1"/>
  <c r="R10" i="108"/>
  <c r="L7" i="51"/>
  <c r="H15" i="90"/>
  <c r="R33" i="11"/>
  <c r="R30" i="8"/>
  <c r="Q14" i="7" s="1"/>
  <c r="R20" i="23" l="1"/>
  <c r="B15" i="137" s="1"/>
  <c r="Q46" i="10"/>
  <c r="Q19" i="23"/>
  <c r="R30" i="12"/>
  <c r="Q37" i="10"/>
  <c r="Q41" i="10"/>
  <c r="Q42" i="10"/>
  <c r="Q43" i="10"/>
  <c r="Q38" i="10"/>
  <c r="Q17" i="63"/>
  <c r="Q18" i="63" s="1"/>
  <c r="R35" i="11"/>
  <c r="Q29" i="10"/>
  <c r="L26" i="51"/>
  <c r="Q33" i="10"/>
  <c r="H17" i="90"/>
  <c r="Q31" i="10" s="1"/>
  <c r="Q35" i="10"/>
  <c r="R32" i="17"/>
  <c r="Q40" i="10"/>
  <c r="R39" i="19"/>
  <c r="Q44" i="10"/>
  <c r="Q45" i="10"/>
  <c r="F19" i="92"/>
  <c r="Q48" i="10"/>
  <c r="L28" i="53"/>
  <c r="R51" i="22"/>
  <c r="Q39" i="10"/>
  <c r="R32" i="8"/>
  <c r="Q21" i="7"/>
  <c r="H23" i="82"/>
  <c r="S32" i="24"/>
  <c r="R72" i="28"/>
  <c r="H21" i="87"/>
  <c r="F18" i="93"/>
  <c r="J20" i="88"/>
  <c r="J35" i="88"/>
  <c r="R30" i="15"/>
  <c r="R24" i="14"/>
  <c r="H30" i="81"/>
  <c r="Q17" i="23"/>
  <c r="H21" i="91"/>
  <c r="R34" i="108"/>
  <c r="Q16" i="23"/>
  <c r="L31" i="52"/>
  <c r="R16" i="26"/>
  <c r="Q15" i="23"/>
  <c r="R22" i="23" l="1"/>
  <c r="Q49" i="10"/>
  <c r="Q20" i="23"/>
  <c r="C6" i="57"/>
  <c r="D6" i="57"/>
  <c r="E6" i="57"/>
  <c r="F6" i="57"/>
  <c r="G6" i="57"/>
  <c r="H6" i="57"/>
  <c r="I6" i="57"/>
  <c r="J6" i="57"/>
  <c r="I9" i="57"/>
  <c r="I12" i="57"/>
  <c r="I15" i="57"/>
  <c r="I16" i="57"/>
  <c r="I17" i="57"/>
  <c r="I18" i="57"/>
  <c r="I19" i="57"/>
  <c r="I20" i="57"/>
  <c r="I29" i="57"/>
  <c r="I32" i="57"/>
  <c r="Q7" i="14"/>
  <c r="F21" i="82" l="1"/>
  <c r="H18" i="88"/>
  <c r="I18" i="88"/>
  <c r="P34" i="60" l="1"/>
  <c r="J26" i="53" l="1"/>
  <c r="K26" i="53"/>
  <c r="J6" i="53"/>
  <c r="K6" i="53"/>
  <c r="J29" i="52"/>
  <c r="K29" i="52"/>
  <c r="J6" i="52"/>
  <c r="K6" i="52"/>
  <c r="P15" i="26"/>
  <c r="Q15" i="26"/>
  <c r="P7" i="26"/>
  <c r="O7" i="23" s="1"/>
  <c r="Q7" i="26"/>
  <c r="F19" i="91"/>
  <c r="G19" i="91"/>
  <c r="F6" i="91"/>
  <c r="O6" i="23" s="1"/>
  <c r="G6" i="91"/>
  <c r="P15" i="23" s="1"/>
  <c r="Q30" i="24"/>
  <c r="R30" i="24"/>
  <c r="Q6" i="24"/>
  <c r="R6" i="24"/>
  <c r="P10" i="108"/>
  <c r="Q10" i="108"/>
  <c r="P32" i="108"/>
  <c r="Q32" i="108"/>
  <c r="J7" i="51"/>
  <c r="K7" i="51"/>
  <c r="P70" i="28"/>
  <c r="P27" i="28"/>
  <c r="Q27" i="28"/>
  <c r="P18" i="28"/>
  <c r="Q18" i="28"/>
  <c r="D6" i="93"/>
  <c r="E6" i="93"/>
  <c r="D16" i="93"/>
  <c r="E16" i="93"/>
  <c r="P46" i="10" s="1"/>
  <c r="D17" i="92"/>
  <c r="E17" i="92"/>
  <c r="D6" i="92"/>
  <c r="E6" i="92"/>
  <c r="G6" i="87"/>
  <c r="F19" i="87"/>
  <c r="G19" i="87"/>
  <c r="F6" i="87"/>
  <c r="G21" i="82"/>
  <c r="F9" i="82"/>
  <c r="G9" i="82"/>
  <c r="H12" i="88"/>
  <c r="I12" i="88"/>
  <c r="H33" i="88"/>
  <c r="I33" i="88"/>
  <c r="F28" i="81"/>
  <c r="G28" i="81"/>
  <c r="F7" i="81"/>
  <c r="G7" i="81"/>
  <c r="P36" i="19"/>
  <c r="Q36" i="19"/>
  <c r="P8" i="19"/>
  <c r="Q8" i="19"/>
  <c r="P30" i="17"/>
  <c r="Q30" i="17"/>
  <c r="P9" i="17"/>
  <c r="Q9" i="17"/>
  <c r="P8" i="22"/>
  <c r="Q8" i="22"/>
  <c r="P49" i="22"/>
  <c r="Q49" i="22"/>
  <c r="P28" i="15"/>
  <c r="Q28" i="15"/>
  <c r="P8" i="15"/>
  <c r="Q8" i="15"/>
  <c r="P22" i="14"/>
  <c r="Q22" i="14"/>
  <c r="Q24" i="14" s="1"/>
  <c r="P7" i="14"/>
  <c r="Q8" i="12"/>
  <c r="P28" i="12"/>
  <c r="Q28" i="12"/>
  <c r="O8" i="12"/>
  <c r="P8" i="12"/>
  <c r="P51" i="22" l="1"/>
  <c r="O10" i="23"/>
  <c r="P16" i="23"/>
  <c r="O8" i="23"/>
  <c r="P17" i="23"/>
  <c r="O14" i="23"/>
  <c r="O5" i="23"/>
  <c r="O35" i="10"/>
  <c r="O46" i="10"/>
  <c r="P40" i="10"/>
  <c r="Q51" i="22"/>
  <c r="O39" i="10"/>
  <c r="P35" i="10"/>
  <c r="O44" i="10"/>
  <c r="F23" i="82"/>
  <c r="P42" i="10"/>
  <c r="P37" i="10"/>
  <c r="P45" i="10"/>
  <c r="Q30" i="12"/>
  <c r="P39" i="10"/>
  <c r="Q39" i="19"/>
  <c r="P43" i="10"/>
  <c r="O48" i="10"/>
  <c r="P36" i="10"/>
  <c r="G21" i="91"/>
  <c r="Q16" i="26"/>
  <c r="K31" i="52"/>
  <c r="K28" i="53"/>
  <c r="O41" i="10"/>
  <c r="E19" i="92"/>
  <c r="P48" i="10"/>
  <c r="Q32" i="24"/>
  <c r="O15" i="23"/>
  <c r="P16" i="26"/>
  <c r="O17" i="23"/>
  <c r="J28" i="53"/>
  <c r="P41" i="10"/>
  <c r="Q32" i="17"/>
  <c r="Q30" i="15"/>
  <c r="O19" i="23"/>
  <c r="P19" i="23"/>
  <c r="R32" i="24"/>
  <c r="P14" i="23"/>
  <c r="J31" i="52"/>
  <c r="F21" i="91"/>
  <c r="P72" i="28"/>
  <c r="D18" i="93"/>
  <c r="D19" i="92"/>
  <c r="O45" i="10"/>
  <c r="F21" i="87"/>
  <c r="P44" i="10"/>
  <c r="O43" i="10"/>
  <c r="O42" i="10"/>
  <c r="F30" i="81"/>
  <c r="P39" i="19"/>
  <c r="O40" i="10"/>
  <c r="P32" i="17"/>
  <c r="O38" i="10"/>
  <c r="P30" i="15"/>
  <c r="O37" i="10"/>
  <c r="P24" i="14"/>
  <c r="O36" i="10"/>
  <c r="P30" i="12"/>
  <c r="O16" i="23"/>
  <c r="G30" i="81"/>
  <c r="P38" i="10"/>
  <c r="Q72" i="28"/>
  <c r="E18" i="93"/>
  <c r="G21" i="87"/>
  <c r="G23" i="82"/>
  <c r="H35" i="88"/>
  <c r="I35" i="88"/>
  <c r="I20" i="88"/>
  <c r="H20" i="88"/>
  <c r="P34" i="108"/>
  <c r="Q34" i="108"/>
  <c r="J24" i="51"/>
  <c r="O33" i="10" s="1"/>
  <c r="K24" i="51"/>
  <c r="F15" i="90"/>
  <c r="G15" i="90"/>
  <c r="J22" i="62"/>
  <c r="O34" i="10" s="1"/>
  <c r="K22" i="62"/>
  <c r="P34" i="10" s="1"/>
  <c r="P33" i="11"/>
  <c r="O29" i="10" s="1"/>
  <c r="Q33" i="11"/>
  <c r="F19" i="94"/>
  <c r="O15" i="7" s="1"/>
  <c r="G19" i="94"/>
  <c r="G21" i="94" s="1"/>
  <c r="P30" i="8"/>
  <c r="P32" i="8" s="1"/>
  <c r="Q30" i="8"/>
  <c r="Q32" i="8" s="1"/>
  <c r="P35" i="60"/>
  <c r="Q34" i="60"/>
  <c r="P6" i="58"/>
  <c r="Q6" i="58"/>
  <c r="P23" i="58"/>
  <c r="Q23" i="58"/>
  <c r="P20" i="59"/>
  <c r="Q20" i="59"/>
  <c r="P6" i="59"/>
  <c r="Q6" i="59"/>
  <c r="P6" i="57"/>
  <c r="Q6" i="57"/>
  <c r="P17" i="63" l="1"/>
  <c r="Q35" i="60"/>
  <c r="O11" i="23"/>
  <c r="Q22" i="59"/>
  <c r="Q25" i="58"/>
  <c r="P25" i="58"/>
  <c r="P15" i="63"/>
  <c r="P16" i="63"/>
  <c r="O20" i="23"/>
  <c r="P22" i="59"/>
  <c r="P15" i="7"/>
  <c r="G17" i="90"/>
  <c r="P31" i="10" s="1"/>
  <c r="K24" i="62"/>
  <c r="J26" i="51"/>
  <c r="F17" i="90"/>
  <c r="J24" i="62"/>
  <c r="P35" i="11"/>
  <c r="O49" i="10"/>
  <c r="F21" i="94"/>
  <c r="O14" i="7"/>
  <c r="O21" i="7" s="1"/>
  <c r="O17" i="63"/>
  <c r="O15" i="63"/>
  <c r="O16" i="63"/>
  <c r="K26" i="51"/>
  <c r="P33" i="10"/>
  <c r="P14" i="7"/>
  <c r="Q35" i="11"/>
  <c r="P29" i="10"/>
  <c r="P21" i="7" l="1"/>
  <c r="P49" i="10"/>
  <c r="O9" i="57" l="1"/>
  <c r="O10" i="57"/>
  <c r="K6" i="57"/>
  <c r="L6" i="57"/>
  <c r="M6" i="57"/>
  <c r="N6" i="57"/>
  <c r="O6" i="57"/>
  <c r="K14" i="57"/>
  <c r="M14" i="57"/>
  <c r="K18" i="57"/>
  <c r="K22" i="57"/>
  <c r="K32" i="57"/>
  <c r="C6" i="60"/>
  <c r="D6" i="60"/>
  <c r="E6" i="60"/>
  <c r="F6" i="60"/>
  <c r="G6" i="60"/>
  <c r="H6" i="60"/>
  <c r="I6" i="60"/>
  <c r="J6" i="60"/>
  <c r="K6" i="60"/>
  <c r="L6" i="60"/>
  <c r="M6" i="60"/>
  <c r="N6" i="60"/>
  <c r="O6" i="60"/>
  <c r="G22" i="60"/>
  <c r="G34" i="60" s="1"/>
  <c r="C34" i="60"/>
  <c r="C35" i="60" s="1"/>
  <c r="D34" i="60"/>
  <c r="E34" i="60"/>
  <c r="F34" i="60"/>
  <c r="H34" i="60"/>
  <c r="I34" i="60"/>
  <c r="J34" i="60"/>
  <c r="K34" i="60"/>
  <c r="L34" i="60"/>
  <c r="M34" i="60"/>
  <c r="N34" i="60"/>
  <c r="O34" i="60"/>
  <c r="C6" i="58"/>
  <c r="D6" i="58"/>
  <c r="E6" i="58"/>
  <c r="F6" i="58"/>
  <c r="G6" i="58"/>
  <c r="H6" i="58"/>
  <c r="I6" i="58"/>
  <c r="J6" i="58"/>
  <c r="K6" i="58"/>
  <c r="L6" i="58"/>
  <c r="M6" i="58"/>
  <c r="N6" i="58"/>
  <c r="O6" i="58"/>
  <c r="C23" i="58"/>
  <c r="D23" i="58"/>
  <c r="E23" i="58"/>
  <c r="F23" i="58"/>
  <c r="G23" i="58"/>
  <c r="H23" i="58"/>
  <c r="I23" i="58"/>
  <c r="J23" i="58"/>
  <c r="K23" i="58"/>
  <c r="L23" i="58"/>
  <c r="M23" i="58"/>
  <c r="N23" i="58"/>
  <c r="O23" i="58"/>
  <c r="C6" i="59"/>
  <c r="D6" i="59"/>
  <c r="E6" i="59"/>
  <c r="F6" i="59"/>
  <c r="G6" i="59"/>
  <c r="H6" i="59"/>
  <c r="I6" i="59"/>
  <c r="J6" i="59"/>
  <c r="K6" i="59"/>
  <c r="L6" i="59"/>
  <c r="M6" i="59"/>
  <c r="N6" i="59"/>
  <c r="O6" i="59"/>
  <c r="I11" i="59"/>
  <c r="I12" i="59"/>
  <c r="I13" i="59"/>
  <c r="I14" i="59"/>
  <c r="G17" i="59"/>
  <c r="G20" i="59" s="1"/>
  <c r="C20" i="59"/>
  <c r="D20" i="59"/>
  <c r="E20" i="59"/>
  <c r="F20" i="59"/>
  <c r="H20" i="59"/>
  <c r="J20" i="59"/>
  <c r="J22" i="59" s="1"/>
  <c r="K20" i="59"/>
  <c r="L20" i="59"/>
  <c r="L22" i="59" s="1"/>
  <c r="M20" i="59"/>
  <c r="N20" i="59"/>
  <c r="N22" i="59" s="1"/>
  <c r="O20" i="59"/>
  <c r="O22" i="59" s="1"/>
  <c r="O35" i="60" l="1"/>
  <c r="I35" i="60"/>
  <c r="I20" i="59"/>
  <c r="I22" i="59" s="1"/>
  <c r="N17" i="63"/>
  <c r="E25" i="58"/>
  <c r="N25" i="58"/>
  <c r="L25" i="58"/>
  <c r="J25" i="58"/>
  <c r="H25" i="58"/>
  <c r="F25" i="58"/>
  <c r="D25" i="58"/>
  <c r="M25" i="58"/>
  <c r="I25" i="58"/>
  <c r="E22" i="59"/>
  <c r="M16" i="63"/>
  <c r="M22" i="59"/>
  <c r="K22" i="59"/>
  <c r="G22" i="59"/>
  <c r="C22" i="59"/>
  <c r="N35" i="60"/>
  <c r="L17" i="63"/>
  <c r="K35" i="60"/>
  <c r="E35" i="60"/>
  <c r="M35" i="60"/>
  <c r="G35" i="60"/>
  <c r="L16" i="63"/>
  <c r="H22" i="59"/>
  <c r="F22" i="59"/>
  <c r="D22" i="59"/>
  <c r="L35" i="60"/>
  <c r="J35" i="60"/>
  <c r="H35" i="60"/>
  <c r="F35" i="60"/>
  <c r="D35" i="60"/>
  <c r="L15" i="63"/>
  <c r="K25" i="58"/>
  <c r="G25" i="58"/>
  <c r="C25" i="58"/>
  <c r="O25" i="58"/>
  <c r="M15" i="63"/>
  <c r="M17" i="63"/>
  <c r="N16" i="63"/>
  <c r="N15" i="63"/>
  <c r="O11" i="8" l="1"/>
  <c r="C10" i="108" l="1"/>
  <c r="D10" i="108"/>
  <c r="E10" i="108"/>
  <c r="F10" i="108"/>
  <c r="G10" i="108"/>
  <c r="H10" i="108"/>
  <c r="I10" i="108"/>
  <c r="J10" i="108"/>
  <c r="K10" i="108"/>
  <c r="L10" i="108"/>
  <c r="M10" i="108"/>
  <c r="N10" i="108"/>
  <c r="O10" i="108"/>
  <c r="L25" i="108"/>
  <c r="L32" i="108" s="1"/>
  <c r="C32" i="108"/>
  <c r="D32" i="108"/>
  <c r="E32" i="108"/>
  <c r="F32" i="108"/>
  <c r="G32" i="108"/>
  <c r="H32" i="108"/>
  <c r="I32" i="108"/>
  <c r="J32" i="108"/>
  <c r="K32" i="108"/>
  <c r="M32" i="108"/>
  <c r="N32" i="108"/>
  <c r="O32" i="108"/>
  <c r="I34" i="108" l="1"/>
  <c r="M34" i="108"/>
  <c r="E34" i="108"/>
  <c r="K34" i="108"/>
  <c r="G34" i="108"/>
  <c r="C34" i="108"/>
  <c r="N35" i="10"/>
  <c r="L35" i="10"/>
  <c r="O34" i="108"/>
  <c r="M35" i="10"/>
  <c r="K35" i="10"/>
  <c r="L34" i="108"/>
  <c r="J34" i="108"/>
  <c r="H34" i="108"/>
  <c r="F34" i="108"/>
  <c r="D34" i="108"/>
  <c r="N34" i="108"/>
  <c r="O10" i="8" l="1"/>
  <c r="P10" i="24" l="1"/>
  <c r="P9" i="24"/>
  <c r="H29" i="52"/>
  <c r="I29" i="52"/>
  <c r="H6" i="52"/>
  <c r="I6" i="52"/>
  <c r="N30" i="8"/>
  <c r="O30" i="8"/>
  <c r="C19" i="94"/>
  <c r="E19" i="94"/>
  <c r="D19" i="94"/>
  <c r="E6" i="94"/>
  <c r="D6" i="94"/>
  <c r="C6" i="94"/>
  <c r="C16" i="93"/>
  <c r="C6" i="93"/>
  <c r="C17" i="92"/>
  <c r="C6" i="92"/>
  <c r="D19" i="87"/>
  <c r="E19" i="87"/>
  <c r="C19" i="87"/>
  <c r="M8" i="23" l="1"/>
  <c r="N8" i="23"/>
  <c r="H31" i="52"/>
  <c r="N17" i="23"/>
  <c r="M17" i="23"/>
  <c r="N46" i="10"/>
  <c r="M15" i="7"/>
  <c r="L15" i="7"/>
  <c r="I31" i="52"/>
  <c r="N15" i="7"/>
  <c r="E21" i="94"/>
  <c r="D21" i="94"/>
  <c r="C21" i="94"/>
  <c r="C18" i="93"/>
  <c r="C19" i="92"/>
  <c r="O18" i="28"/>
  <c r="N70" i="28"/>
  <c r="O70" i="28"/>
  <c r="N18" i="28"/>
  <c r="N27" i="28"/>
  <c r="O27" i="28"/>
  <c r="D15" i="90"/>
  <c r="E15" i="90"/>
  <c r="D6" i="90"/>
  <c r="E6" i="90"/>
  <c r="M48" i="10" l="1"/>
  <c r="N48" i="10"/>
  <c r="O72" i="28"/>
  <c r="N72" i="28"/>
  <c r="E17" i="90"/>
  <c r="D17" i="90"/>
  <c r="N6" i="8"/>
  <c r="O6" i="8"/>
  <c r="M14" i="7" l="1"/>
  <c r="N32" i="8"/>
  <c r="O32" i="8"/>
  <c r="N14" i="7"/>
  <c r="C70" i="28"/>
  <c r="D70" i="28"/>
  <c r="E70" i="28"/>
  <c r="F70" i="28"/>
  <c r="H70" i="28"/>
  <c r="I70" i="28"/>
  <c r="J70" i="28"/>
  <c r="K70" i="28"/>
  <c r="L70" i="28"/>
  <c r="C27" i="28"/>
  <c r="D27" i="28"/>
  <c r="E27" i="28"/>
  <c r="F27" i="28"/>
  <c r="G27" i="28"/>
  <c r="H27" i="28"/>
  <c r="I27" i="28"/>
  <c r="J27" i="28"/>
  <c r="K27" i="28"/>
  <c r="L27" i="28"/>
  <c r="C18" i="28"/>
  <c r="D18" i="28"/>
  <c r="E18" i="28"/>
  <c r="F18" i="28"/>
  <c r="G18" i="28"/>
  <c r="H18" i="28"/>
  <c r="I18" i="28"/>
  <c r="J18" i="28"/>
  <c r="K18" i="28"/>
  <c r="M70" i="28"/>
  <c r="M27" i="28"/>
  <c r="E48" i="10" l="1"/>
  <c r="C48" i="10"/>
  <c r="N21" i="7"/>
  <c r="J72" i="28"/>
  <c r="I48" i="10"/>
  <c r="H72" i="28"/>
  <c r="G48" i="10"/>
  <c r="J48" i="10"/>
  <c r="H48" i="10"/>
  <c r="D48" i="10"/>
  <c r="B48" i="10"/>
  <c r="F72" i="28"/>
  <c r="D72" i="28"/>
  <c r="K72" i="28"/>
  <c r="I72" i="28"/>
  <c r="E72" i="28"/>
  <c r="C72" i="28"/>
  <c r="C26" i="53"/>
  <c r="D26" i="53"/>
  <c r="E26" i="53"/>
  <c r="F26" i="53"/>
  <c r="G26" i="53"/>
  <c r="H26" i="53"/>
  <c r="I26" i="53"/>
  <c r="C6" i="53"/>
  <c r="D6" i="53"/>
  <c r="E6" i="53"/>
  <c r="F6" i="53"/>
  <c r="K10" i="23" s="1"/>
  <c r="G6" i="53"/>
  <c r="H6" i="53"/>
  <c r="I6" i="53"/>
  <c r="P20" i="23"/>
  <c r="C29" i="52"/>
  <c r="D29" i="52"/>
  <c r="E29" i="52"/>
  <c r="F29" i="52"/>
  <c r="D6" i="52"/>
  <c r="E6" i="52"/>
  <c r="F6" i="52"/>
  <c r="G6" i="52"/>
  <c r="C6" i="52"/>
  <c r="G29" i="52"/>
  <c r="D15" i="26"/>
  <c r="F15" i="26"/>
  <c r="G15" i="26"/>
  <c r="H15" i="26"/>
  <c r="I15" i="26"/>
  <c r="J15" i="26"/>
  <c r="K15" i="26"/>
  <c r="L15" i="26"/>
  <c r="N15" i="26"/>
  <c r="O15" i="26"/>
  <c r="D7" i="26"/>
  <c r="E7" i="26"/>
  <c r="F7" i="26"/>
  <c r="G7" i="26"/>
  <c r="F7" i="23" s="1"/>
  <c r="H7" i="26"/>
  <c r="I7" i="26"/>
  <c r="J7" i="26"/>
  <c r="K7" i="26"/>
  <c r="J7" i="23" s="1"/>
  <c r="L7" i="26"/>
  <c r="M7" i="26"/>
  <c r="N7" i="26"/>
  <c r="M7" i="23" s="1"/>
  <c r="O7" i="26"/>
  <c r="N7" i="23" s="1"/>
  <c r="D19" i="91"/>
  <c r="E19" i="91"/>
  <c r="C19" i="91"/>
  <c r="D6" i="91"/>
  <c r="E6" i="91"/>
  <c r="C6" i="91"/>
  <c r="L6" i="23" s="1"/>
  <c r="C30" i="24"/>
  <c r="D30" i="24"/>
  <c r="E30" i="24"/>
  <c r="F30" i="24"/>
  <c r="H30" i="24"/>
  <c r="I30" i="24"/>
  <c r="J30" i="24"/>
  <c r="L30" i="24"/>
  <c r="N30" i="24"/>
  <c r="O30" i="24"/>
  <c r="P30" i="24"/>
  <c r="D6" i="24"/>
  <c r="E6" i="24"/>
  <c r="D5" i="23" s="1"/>
  <c r="F6" i="24"/>
  <c r="E5" i="23" s="1"/>
  <c r="G6" i="24"/>
  <c r="H6" i="24"/>
  <c r="I6" i="24"/>
  <c r="J6" i="24"/>
  <c r="I5" i="23" s="1"/>
  <c r="K6" i="24"/>
  <c r="L6" i="24"/>
  <c r="K5" i="23" s="1"/>
  <c r="M6" i="24"/>
  <c r="N6" i="24"/>
  <c r="O6" i="24"/>
  <c r="P6" i="24"/>
  <c r="N5" i="23" s="1"/>
  <c r="C6" i="24"/>
  <c r="D7" i="24"/>
  <c r="D6" i="87"/>
  <c r="M45" i="10" s="1"/>
  <c r="E6" i="87"/>
  <c r="N45" i="10" s="1"/>
  <c r="C6" i="87"/>
  <c r="D21" i="82"/>
  <c r="E21" i="82"/>
  <c r="D9" i="82"/>
  <c r="E9" i="82"/>
  <c r="C21" i="82"/>
  <c r="C9" i="82"/>
  <c r="F33" i="88"/>
  <c r="G33" i="88"/>
  <c r="F18" i="88"/>
  <c r="G18" i="88"/>
  <c r="F12" i="88"/>
  <c r="G12" i="88"/>
  <c r="C33" i="88"/>
  <c r="D33" i="88"/>
  <c r="C18" i="88"/>
  <c r="D18" i="88"/>
  <c r="E18" i="88"/>
  <c r="C12" i="88"/>
  <c r="D12" i="88"/>
  <c r="E33" i="88"/>
  <c r="E12" i="88"/>
  <c r="L10" i="23" l="1"/>
  <c r="H10" i="23"/>
  <c r="K8" i="23"/>
  <c r="K7" i="23"/>
  <c r="K11" i="23" s="1"/>
  <c r="N6" i="23"/>
  <c r="B5" i="23"/>
  <c r="J10" i="23"/>
  <c r="N10" i="23"/>
  <c r="N11" i="23" s="1"/>
  <c r="M10" i="23"/>
  <c r="I10" i="23"/>
  <c r="J8" i="23"/>
  <c r="L8" i="23"/>
  <c r="I8" i="23"/>
  <c r="H8" i="23"/>
  <c r="G5" i="23"/>
  <c r="C5" i="23"/>
  <c r="H5" i="23"/>
  <c r="M5" i="23"/>
  <c r="G7" i="23"/>
  <c r="G11" i="23" s="1"/>
  <c r="I7" i="23"/>
  <c r="H7" i="23"/>
  <c r="E7" i="23"/>
  <c r="E11" i="23" s="1"/>
  <c r="C7" i="23"/>
  <c r="E23" i="82"/>
  <c r="G31" i="52"/>
  <c r="N43" i="10"/>
  <c r="D16" i="26"/>
  <c r="E14" i="23"/>
  <c r="M43" i="10"/>
  <c r="L43" i="10"/>
  <c r="K43" i="10"/>
  <c r="M44" i="10"/>
  <c r="N44" i="10"/>
  <c r="L45" i="10"/>
  <c r="C20" i="88"/>
  <c r="O32" i="24"/>
  <c r="M14" i="23"/>
  <c r="E21" i="91"/>
  <c r="N15" i="23"/>
  <c r="L16" i="26"/>
  <c r="J16" i="26"/>
  <c r="H16" i="26"/>
  <c r="F16" i="26"/>
  <c r="J16" i="23"/>
  <c r="H16" i="23"/>
  <c r="K19" i="23"/>
  <c r="I19" i="23"/>
  <c r="N19" i="23"/>
  <c r="L44" i="10"/>
  <c r="D21" i="87"/>
  <c r="K14" i="23"/>
  <c r="I14" i="23"/>
  <c r="G14" i="23"/>
  <c r="C14" i="23"/>
  <c r="C21" i="91"/>
  <c r="L15" i="23"/>
  <c r="N16" i="23"/>
  <c r="K16" i="23"/>
  <c r="I16" i="23"/>
  <c r="G16" i="23"/>
  <c r="E16" i="23"/>
  <c r="E21" i="87"/>
  <c r="H14" i="23"/>
  <c r="D14" i="23"/>
  <c r="B14" i="23"/>
  <c r="M16" i="23"/>
  <c r="F16" i="23"/>
  <c r="C16" i="23"/>
  <c r="L19" i="23"/>
  <c r="J19" i="23"/>
  <c r="H19" i="23"/>
  <c r="M19" i="23"/>
  <c r="C28" i="53"/>
  <c r="F28" i="53"/>
  <c r="D28" i="53"/>
  <c r="G28" i="53"/>
  <c r="E28" i="53"/>
  <c r="H28" i="53"/>
  <c r="N16" i="26"/>
  <c r="D21" i="91"/>
  <c r="D23" i="82"/>
  <c r="E20" i="88"/>
  <c r="C35" i="88"/>
  <c r="D35" i="88"/>
  <c r="G20" i="88"/>
  <c r="D20" i="88"/>
  <c r="E35" i="88"/>
  <c r="F20" i="88"/>
  <c r="F35" i="88"/>
  <c r="I32" i="24"/>
  <c r="P32" i="24"/>
  <c r="N14" i="23"/>
  <c r="N32" i="24"/>
  <c r="L32" i="24"/>
  <c r="J32" i="24"/>
  <c r="D32" i="24"/>
  <c r="H32" i="24"/>
  <c r="E32" i="24"/>
  <c r="C32" i="24"/>
  <c r="F32" i="24"/>
  <c r="I28" i="53"/>
  <c r="O16" i="26"/>
  <c r="K16" i="26"/>
  <c r="I16" i="26"/>
  <c r="G16" i="26"/>
  <c r="K17" i="23"/>
  <c r="I17" i="23"/>
  <c r="E31" i="52"/>
  <c r="C31" i="52"/>
  <c r="H17" i="23"/>
  <c r="L17" i="23"/>
  <c r="J17" i="23"/>
  <c r="C21" i="87"/>
  <c r="G35" i="88"/>
  <c r="F31" i="52"/>
  <c r="D31" i="52"/>
  <c r="C23" i="82"/>
  <c r="C28" i="81"/>
  <c r="D28" i="81"/>
  <c r="C7" i="81"/>
  <c r="D7" i="81"/>
  <c r="M42" i="10" s="1"/>
  <c r="E28" i="81"/>
  <c r="E7" i="81"/>
  <c r="N8" i="19"/>
  <c r="O8" i="19"/>
  <c r="C36" i="19"/>
  <c r="D36" i="19"/>
  <c r="E36" i="19"/>
  <c r="F36" i="19"/>
  <c r="G36" i="19"/>
  <c r="H36" i="19"/>
  <c r="I36" i="19"/>
  <c r="J36" i="19"/>
  <c r="K36" i="19"/>
  <c r="L36" i="19"/>
  <c r="N36" i="19"/>
  <c r="O36" i="19"/>
  <c r="C8" i="19"/>
  <c r="D8" i="19"/>
  <c r="C41" i="10" s="1"/>
  <c r="E8" i="19"/>
  <c r="D41" i="10" s="1"/>
  <c r="F8" i="19"/>
  <c r="E41" i="10" s="1"/>
  <c r="G8" i="19"/>
  <c r="F41" i="10" s="1"/>
  <c r="H8" i="19"/>
  <c r="G41" i="10" s="1"/>
  <c r="I8" i="19"/>
  <c r="H41" i="10" s="1"/>
  <c r="J8" i="19"/>
  <c r="I41" i="10" s="1"/>
  <c r="K8" i="19"/>
  <c r="J41" i="10" s="1"/>
  <c r="M8" i="19"/>
  <c r="L8" i="19"/>
  <c r="M36" i="19"/>
  <c r="N9" i="17"/>
  <c r="O9" i="17"/>
  <c r="C30" i="17"/>
  <c r="D30" i="17"/>
  <c r="E30" i="17"/>
  <c r="F30" i="17"/>
  <c r="H30" i="17"/>
  <c r="I30" i="17"/>
  <c r="J30" i="17"/>
  <c r="K30" i="17"/>
  <c r="L30" i="17"/>
  <c r="N30" i="17"/>
  <c r="O30" i="17"/>
  <c r="M30" i="17"/>
  <c r="C9" i="17"/>
  <c r="D9" i="17"/>
  <c r="C40" i="10" s="1"/>
  <c r="E9" i="17"/>
  <c r="D40" i="10" s="1"/>
  <c r="F9" i="17"/>
  <c r="E40" i="10" s="1"/>
  <c r="G9" i="17"/>
  <c r="H9" i="17"/>
  <c r="I9" i="17"/>
  <c r="J9" i="17"/>
  <c r="K9" i="17"/>
  <c r="L9" i="17"/>
  <c r="M9" i="17"/>
  <c r="N8" i="22"/>
  <c r="O8" i="22"/>
  <c r="C49" i="22"/>
  <c r="D49" i="22"/>
  <c r="E49" i="22"/>
  <c r="F49" i="22"/>
  <c r="G49" i="22"/>
  <c r="H49" i="22"/>
  <c r="J49" i="22"/>
  <c r="K49" i="22"/>
  <c r="L49" i="22"/>
  <c r="N49" i="22"/>
  <c r="O49" i="22"/>
  <c r="M49" i="22"/>
  <c r="C8" i="22"/>
  <c r="D8" i="22"/>
  <c r="E8" i="22"/>
  <c r="D39" i="10" s="1"/>
  <c r="F8" i="22"/>
  <c r="G8" i="22"/>
  <c r="F39" i="10" s="1"/>
  <c r="H8" i="22"/>
  <c r="G39" i="10" s="1"/>
  <c r="I8" i="22"/>
  <c r="J8" i="22"/>
  <c r="K8" i="22"/>
  <c r="M8" i="22"/>
  <c r="L8" i="22"/>
  <c r="M28" i="15"/>
  <c r="N28" i="15"/>
  <c r="O28" i="15"/>
  <c r="N8" i="15"/>
  <c r="O8" i="15"/>
  <c r="C28" i="15"/>
  <c r="D28" i="15"/>
  <c r="E28" i="15"/>
  <c r="F28" i="15"/>
  <c r="G28" i="15"/>
  <c r="H28" i="15"/>
  <c r="I28" i="15"/>
  <c r="J28" i="15"/>
  <c r="K28" i="15"/>
  <c r="L28" i="15"/>
  <c r="C8" i="15"/>
  <c r="D8" i="15"/>
  <c r="E8" i="15"/>
  <c r="F8" i="15"/>
  <c r="G8" i="15"/>
  <c r="H8" i="15"/>
  <c r="I8" i="15"/>
  <c r="J8" i="15"/>
  <c r="K8" i="15"/>
  <c r="L8" i="15"/>
  <c r="M8" i="15"/>
  <c r="D22" i="14"/>
  <c r="E22" i="14"/>
  <c r="F22" i="14"/>
  <c r="H22" i="14"/>
  <c r="I22" i="14"/>
  <c r="J22" i="14"/>
  <c r="K22" i="14"/>
  <c r="L22" i="14"/>
  <c r="M22" i="14"/>
  <c r="N22" i="14"/>
  <c r="O22" i="14"/>
  <c r="C22" i="14"/>
  <c r="D7" i="14"/>
  <c r="E7" i="14"/>
  <c r="F7" i="14"/>
  <c r="G7" i="14"/>
  <c r="H7" i="14"/>
  <c r="I7" i="14"/>
  <c r="J7" i="14"/>
  <c r="K7" i="14"/>
  <c r="L7" i="14"/>
  <c r="M7" i="14"/>
  <c r="N7" i="14"/>
  <c r="O7" i="14"/>
  <c r="C7" i="14"/>
  <c r="N8" i="12"/>
  <c r="C28" i="12"/>
  <c r="D28" i="12"/>
  <c r="E28" i="12"/>
  <c r="F28" i="12"/>
  <c r="G28" i="12"/>
  <c r="H28" i="12"/>
  <c r="I28" i="12"/>
  <c r="J28" i="12"/>
  <c r="K28" i="12"/>
  <c r="L28" i="12"/>
  <c r="N28" i="12"/>
  <c r="O28" i="12"/>
  <c r="C8" i="12"/>
  <c r="D8" i="12"/>
  <c r="E8" i="12"/>
  <c r="F8" i="12"/>
  <c r="G8" i="12"/>
  <c r="H8" i="12"/>
  <c r="I8" i="12"/>
  <c r="J8" i="12"/>
  <c r="K8" i="12"/>
  <c r="L8" i="12"/>
  <c r="K36" i="10" s="1"/>
  <c r="M8" i="12"/>
  <c r="D22" i="62"/>
  <c r="E22" i="62"/>
  <c r="F22" i="62"/>
  <c r="H22" i="62"/>
  <c r="I22" i="62"/>
  <c r="C7" i="62"/>
  <c r="D7" i="62"/>
  <c r="I34" i="10" s="1"/>
  <c r="E7" i="62"/>
  <c r="F7" i="62"/>
  <c r="G7" i="62"/>
  <c r="H7" i="62"/>
  <c r="G22" i="62"/>
  <c r="I7" i="62"/>
  <c r="N34" i="10" s="1"/>
  <c r="H7" i="51"/>
  <c r="I7" i="51"/>
  <c r="C24" i="51"/>
  <c r="D24" i="51"/>
  <c r="E24" i="51"/>
  <c r="F24" i="51"/>
  <c r="H24" i="51"/>
  <c r="I24" i="51"/>
  <c r="C7" i="51"/>
  <c r="D7" i="51"/>
  <c r="I33" i="10" s="1"/>
  <c r="E7" i="51"/>
  <c r="F7" i="51"/>
  <c r="G24" i="51"/>
  <c r="G7" i="51"/>
  <c r="C6" i="90"/>
  <c r="C15" i="90"/>
  <c r="N6" i="11"/>
  <c r="O6" i="11"/>
  <c r="N33" i="11"/>
  <c r="O33" i="11"/>
  <c r="C33" i="11"/>
  <c r="D33" i="11"/>
  <c r="E33" i="11"/>
  <c r="F33" i="11"/>
  <c r="G33" i="11"/>
  <c r="H33" i="11"/>
  <c r="I33" i="11"/>
  <c r="J33" i="11"/>
  <c r="L33" i="11"/>
  <c r="C30" i="8"/>
  <c r="D30" i="8"/>
  <c r="F30" i="8"/>
  <c r="H30" i="8"/>
  <c r="I30" i="8"/>
  <c r="J30" i="8"/>
  <c r="L30" i="8"/>
  <c r="C6" i="8"/>
  <c r="D6" i="8"/>
  <c r="E6" i="8"/>
  <c r="F6" i="8"/>
  <c r="G6" i="8"/>
  <c r="H6" i="8"/>
  <c r="I6" i="8"/>
  <c r="J6" i="8"/>
  <c r="K6" i="8"/>
  <c r="L6" i="8"/>
  <c r="M6" i="8"/>
  <c r="C7" i="26"/>
  <c r="C11" i="23" l="1"/>
  <c r="H11" i="23"/>
  <c r="I11" i="23"/>
  <c r="M11" i="23"/>
  <c r="M33" i="10"/>
  <c r="O39" i="19"/>
  <c r="M39" i="19"/>
  <c r="L39" i="10"/>
  <c r="E39" i="10"/>
  <c r="K39" i="10"/>
  <c r="M38" i="10"/>
  <c r="J33" i="10"/>
  <c r="N33" i="10"/>
  <c r="K34" i="10"/>
  <c r="G24" i="62"/>
  <c r="J34" i="10"/>
  <c r="N29" i="10"/>
  <c r="K38" i="10"/>
  <c r="N38" i="10"/>
  <c r="K41" i="10"/>
  <c r="L40" i="10"/>
  <c r="M37" i="10"/>
  <c r="K37" i="10"/>
  <c r="L33" i="10"/>
  <c r="N39" i="10"/>
  <c r="M40" i="10"/>
  <c r="M29" i="10"/>
  <c r="L34" i="10"/>
  <c r="M41" i="10"/>
  <c r="K33" i="10"/>
  <c r="M34" i="10"/>
  <c r="O30" i="12"/>
  <c r="N36" i="10"/>
  <c r="M36" i="10"/>
  <c r="N37" i="10"/>
  <c r="L37" i="10"/>
  <c r="L38" i="10"/>
  <c r="M39" i="10"/>
  <c r="K40" i="10"/>
  <c r="N40" i="10"/>
  <c r="L41" i="10"/>
  <c r="N41" i="10"/>
  <c r="N42" i="10"/>
  <c r="B41" i="10"/>
  <c r="B40" i="10"/>
  <c r="B39" i="10"/>
  <c r="B36" i="10"/>
  <c r="B37" i="10"/>
  <c r="I37" i="10"/>
  <c r="G37" i="10"/>
  <c r="I39" i="10"/>
  <c r="J40" i="10"/>
  <c r="H40" i="10"/>
  <c r="O32" i="17"/>
  <c r="M20" i="23"/>
  <c r="N20" i="23"/>
  <c r="C39" i="10"/>
  <c r="J35" i="10"/>
  <c r="H35" i="10"/>
  <c r="F35" i="10"/>
  <c r="D35" i="10"/>
  <c r="B35" i="10"/>
  <c r="J37" i="10"/>
  <c r="H37" i="10"/>
  <c r="I40" i="10"/>
  <c r="G40" i="10"/>
  <c r="H26" i="51"/>
  <c r="G26" i="51"/>
  <c r="E26" i="51"/>
  <c r="J36" i="10"/>
  <c r="K30" i="12"/>
  <c r="H36" i="10"/>
  <c r="I30" i="12"/>
  <c r="F36" i="10"/>
  <c r="G30" i="12"/>
  <c r="D36" i="10"/>
  <c r="E30" i="12"/>
  <c r="F24" i="14"/>
  <c r="E37" i="10"/>
  <c r="D24" i="14"/>
  <c r="C37" i="10"/>
  <c r="C26" i="51"/>
  <c r="H33" i="10"/>
  <c r="F26" i="51"/>
  <c r="D26" i="51"/>
  <c r="L30" i="12"/>
  <c r="I36" i="10"/>
  <c r="J30" i="12"/>
  <c r="G36" i="10"/>
  <c r="H30" i="12"/>
  <c r="E36" i="10"/>
  <c r="F30" i="12"/>
  <c r="C36" i="10"/>
  <c r="D30" i="12"/>
  <c r="C30" i="12"/>
  <c r="E24" i="14"/>
  <c r="D37" i="10"/>
  <c r="C30" i="81"/>
  <c r="L42" i="10"/>
  <c r="D30" i="81"/>
  <c r="N39" i="19"/>
  <c r="C32" i="17"/>
  <c r="K32" i="17"/>
  <c r="I32" i="17"/>
  <c r="E32" i="17"/>
  <c r="L32" i="17"/>
  <c r="J32" i="17"/>
  <c r="H32" i="17"/>
  <c r="F32" i="17"/>
  <c r="D32" i="17"/>
  <c r="M32" i="17"/>
  <c r="N32" i="17"/>
  <c r="G51" i="22"/>
  <c r="K51" i="22"/>
  <c r="C51" i="22"/>
  <c r="E51" i="22"/>
  <c r="M51" i="22"/>
  <c r="J39" i="10"/>
  <c r="O51" i="22"/>
  <c r="N51" i="22"/>
  <c r="L51" i="22"/>
  <c r="J51" i="22"/>
  <c r="H51" i="22"/>
  <c r="F51" i="22"/>
  <c r="D51" i="22"/>
  <c r="N30" i="12"/>
  <c r="I35" i="10"/>
  <c r="G35" i="10"/>
  <c r="E35" i="10"/>
  <c r="C35" i="10"/>
  <c r="I26" i="51"/>
  <c r="I38" i="10"/>
  <c r="G38" i="10"/>
  <c r="E38" i="10"/>
  <c r="C38" i="10"/>
  <c r="J38" i="10"/>
  <c r="H38" i="10"/>
  <c r="F38" i="10"/>
  <c r="D38" i="10"/>
  <c r="B38" i="10"/>
  <c r="K14" i="7"/>
  <c r="L32" i="8"/>
  <c r="H14" i="7"/>
  <c r="I32" i="8"/>
  <c r="E14" i="7"/>
  <c r="E21" i="7" s="1"/>
  <c r="F32" i="8"/>
  <c r="I14" i="7"/>
  <c r="J32" i="8"/>
  <c r="G14" i="7"/>
  <c r="G21" i="7" s="1"/>
  <c r="H32" i="8"/>
  <c r="C14" i="7"/>
  <c r="C21" i="7" s="1"/>
  <c r="D32" i="8"/>
  <c r="M30" i="15"/>
  <c r="K30" i="15"/>
  <c r="I30" i="15"/>
  <c r="G30" i="15"/>
  <c r="E30" i="15"/>
  <c r="N30" i="15"/>
  <c r="C30" i="15"/>
  <c r="L30" i="15"/>
  <c r="J30" i="15"/>
  <c r="H30" i="15"/>
  <c r="F30" i="15"/>
  <c r="D30" i="15"/>
  <c r="O30" i="15"/>
  <c r="E30" i="81"/>
  <c r="L39" i="19"/>
  <c r="J39" i="19"/>
  <c r="H39" i="19"/>
  <c r="F39" i="19"/>
  <c r="D39" i="19"/>
  <c r="K39" i="19"/>
  <c r="I39" i="19"/>
  <c r="G39" i="19"/>
  <c r="E39" i="19"/>
  <c r="C39" i="19"/>
  <c r="M24" i="14"/>
  <c r="K24" i="14"/>
  <c r="I24" i="14"/>
  <c r="C24" i="14"/>
  <c r="N24" i="14"/>
  <c r="L24" i="14"/>
  <c r="J24" i="14"/>
  <c r="H24" i="14"/>
  <c r="O24" i="14"/>
  <c r="H24" i="62"/>
  <c r="E24" i="62"/>
  <c r="I24" i="62"/>
  <c r="F24" i="62"/>
  <c r="D24" i="62"/>
  <c r="C17" i="90"/>
  <c r="O35" i="11"/>
  <c r="N35" i="11"/>
  <c r="C32" i="8"/>
  <c r="B14" i="7"/>
  <c r="B21" i="7" s="1"/>
  <c r="N49" i="10" l="1"/>
  <c r="M49" i="10"/>
  <c r="H21" i="7"/>
  <c r="I21" i="7"/>
  <c r="M13" i="12"/>
  <c r="M14" i="12"/>
  <c r="M28" i="12" l="1"/>
  <c r="M30" i="12" l="1"/>
  <c r="L36" i="10"/>
  <c r="M14" i="28" l="1"/>
  <c r="M18" i="28" s="1"/>
  <c r="L48" i="10" s="1"/>
  <c r="M72" i="28" l="1"/>
  <c r="M14" i="11" l="1"/>
  <c r="M16" i="8"/>
  <c r="M13" i="24"/>
  <c r="M30" i="24" s="1"/>
  <c r="L5" i="23" s="1"/>
  <c r="L14" i="23" l="1"/>
  <c r="M32" i="24"/>
  <c r="M33" i="11"/>
  <c r="L6" i="11" l="1"/>
  <c r="K29" i="10" s="1"/>
  <c r="M6" i="11"/>
  <c r="L29" i="10" s="1"/>
  <c r="L35" i="11" l="1"/>
  <c r="M35" i="11"/>
  <c r="L6" i="28"/>
  <c r="L18" i="28" s="1"/>
  <c r="K48" i="10" s="1"/>
  <c r="L72" i="28" l="1"/>
  <c r="K49" i="10" l="1"/>
  <c r="M11" i="26"/>
  <c r="M15" i="26" l="1"/>
  <c r="L7" i="23" s="1"/>
  <c r="L11" i="23" s="1"/>
  <c r="L49" i="10"/>
  <c r="M16" i="26" l="1"/>
  <c r="L16" i="23"/>
  <c r="L20" i="23" s="1"/>
  <c r="K20" i="23"/>
  <c r="M24" i="8"/>
  <c r="M30" i="8" l="1"/>
  <c r="L14" i="7" l="1"/>
  <c r="M32" i="8"/>
  <c r="M21" i="7"/>
  <c r="L21" i="7" l="1"/>
  <c r="K9" i="24" l="1"/>
  <c r="K30" i="24" s="1"/>
  <c r="J5" i="23" s="1"/>
  <c r="J11" i="23" s="1"/>
  <c r="K9" i="11"/>
  <c r="K33" i="11" s="1"/>
  <c r="K10" i="8"/>
  <c r="J14" i="23" l="1"/>
  <c r="K32" i="24"/>
  <c r="K24" i="8" l="1"/>
  <c r="K30" i="8" s="1"/>
  <c r="J14" i="7" l="1"/>
  <c r="K32" i="8"/>
  <c r="K21" i="7"/>
  <c r="J21" i="7" l="1"/>
  <c r="K6" i="11" l="1"/>
  <c r="J6" i="11"/>
  <c r="K35" i="11" l="1"/>
  <c r="J29" i="10"/>
  <c r="J35" i="11"/>
  <c r="I29" i="10"/>
  <c r="I20" i="23" l="1"/>
  <c r="J20" i="23"/>
  <c r="J49" i="10"/>
  <c r="I49" i="10"/>
  <c r="C14" i="62" l="1"/>
  <c r="C22" i="62" l="1"/>
  <c r="C24" i="62" l="1"/>
  <c r="H34" i="10"/>
  <c r="C20" i="23" l="1"/>
  <c r="C22" i="23" s="1"/>
  <c r="G20" i="23"/>
  <c r="E20" i="23"/>
  <c r="H6" i="11" l="1"/>
  <c r="G6" i="11"/>
  <c r="F6" i="11"/>
  <c r="E6" i="11"/>
  <c r="D6" i="11"/>
  <c r="C6" i="11"/>
  <c r="I6" i="11"/>
  <c r="I35" i="11" l="1"/>
  <c r="H29" i="10"/>
  <c r="D35" i="11"/>
  <c r="C29" i="10"/>
  <c r="F35" i="11"/>
  <c r="E29" i="10"/>
  <c r="E49" i="10" s="1"/>
  <c r="C35" i="11"/>
  <c r="B29" i="10"/>
  <c r="E35" i="11"/>
  <c r="D29" i="10"/>
  <c r="D49" i="10" s="1"/>
  <c r="G35" i="11"/>
  <c r="F29" i="10"/>
  <c r="H35" i="11"/>
  <c r="G29" i="10"/>
  <c r="G49" i="10" s="1"/>
  <c r="B49" i="10" l="1"/>
  <c r="C49" i="10"/>
  <c r="H20" i="23"/>
  <c r="I12" i="22"/>
  <c r="G21" i="17"/>
  <c r="G30" i="17" s="1"/>
  <c r="G19" i="14"/>
  <c r="G41" i="28"/>
  <c r="G70" i="28" s="1"/>
  <c r="G9" i="24"/>
  <c r="G10" i="8"/>
  <c r="E10" i="8"/>
  <c r="E30" i="8" s="1"/>
  <c r="E11" i="26"/>
  <c r="C11" i="26"/>
  <c r="G30" i="24" l="1"/>
  <c r="F5" i="23" s="1"/>
  <c r="F11" i="23" s="1"/>
  <c r="G32" i="17"/>
  <c r="F40" i="10"/>
  <c r="G72" i="28"/>
  <c r="F48" i="10"/>
  <c r="D14" i="7"/>
  <c r="D21" i="7" s="1"/>
  <c r="E32" i="8"/>
  <c r="E15" i="26"/>
  <c r="D7" i="23" s="1"/>
  <c r="D11" i="23" s="1"/>
  <c r="C15" i="26"/>
  <c r="B7" i="23" s="1"/>
  <c r="B11" i="23" s="1"/>
  <c r="I49" i="22"/>
  <c r="G22" i="14"/>
  <c r="G30" i="8"/>
  <c r="G24" i="14" l="1"/>
  <c r="F37" i="10"/>
  <c r="F49" i="10" s="1"/>
  <c r="F14" i="23"/>
  <c r="F20" i="23" s="1"/>
  <c r="G32" i="24"/>
  <c r="I51" i="22"/>
  <c r="H39" i="10"/>
  <c r="F14" i="7"/>
  <c r="F21" i="7" s="1"/>
  <c r="G32" i="8"/>
  <c r="E16" i="26"/>
  <c r="D16" i="23"/>
  <c r="C16" i="26"/>
  <c r="B16" i="23"/>
  <c r="B20" i="23" l="1"/>
  <c r="B22" i="23" s="1"/>
  <c r="D20" i="23"/>
  <c r="H49" i="10"/>
  <c r="L27" i="10"/>
  <c r="S24" i="14" l="1"/>
  <c r="M34" i="57"/>
  <c r="M35" i="57" s="1"/>
  <c r="O34" i="57"/>
  <c r="O35" i="57" s="1"/>
  <c r="N34" i="57"/>
  <c r="N35" i="57" s="1"/>
  <c r="G34" i="57"/>
  <c r="G35" i="57" s="1"/>
  <c r="I34" i="57"/>
  <c r="I35" i="57" s="1"/>
  <c r="E34" i="57"/>
  <c r="E35" i="57" s="1"/>
  <c r="F34" i="57"/>
  <c r="F35" i="57" s="1"/>
  <c r="H34" i="57"/>
  <c r="H35" i="57" s="1"/>
  <c r="C34" i="57"/>
  <c r="C35" i="57" s="1"/>
  <c r="J34" i="57"/>
  <c r="J35" i="57" s="1"/>
  <c r="D34" i="57"/>
  <c r="D35" i="57" s="1"/>
  <c r="K34" i="57"/>
  <c r="K35" i="57" s="1"/>
  <c r="P34" i="57"/>
  <c r="P35" i="57" s="1"/>
  <c r="Q34" i="57"/>
  <c r="P13" i="63" s="1"/>
  <c r="P18" i="63" s="1"/>
  <c r="L34" i="57"/>
  <c r="L35" i="57" s="1"/>
  <c r="M13" i="63" l="1"/>
  <c r="M18" i="63" s="1"/>
  <c r="O13" i="63"/>
  <c r="O18" i="63" s="1"/>
  <c r="Q35" i="57"/>
  <c r="L13" i="63"/>
  <c r="L18" i="63" s="1"/>
  <c r="N13" i="63"/>
  <c r="N18" i="63" s="1"/>
  <c r="D10" i="111" l="1"/>
  <c r="C51" i="111"/>
  <c r="C52" i="111" s="1"/>
  <c r="C54" i="111" s="1"/>
  <c r="F10" i="111"/>
  <c r="D21" i="111"/>
  <c r="D36" i="111"/>
  <c r="F36" i="111" l="1"/>
  <c r="D37" i="111"/>
  <c r="H37" i="111" s="1"/>
  <c r="H36" i="111"/>
  <c r="S30" i="7"/>
  <c r="S34" i="7" s="1"/>
  <c r="F21" i="111"/>
  <c r="W7" i="7" l="1"/>
  <c r="T11" i="7"/>
  <c r="D6" i="137" s="1"/>
  <c r="D9" i="137" l="1"/>
  <c r="D18" i="137" s="1"/>
  <c r="W11" i="7"/>
  <c r="T23" i="7"/>
  <c r="W22" i="7" s="1"/>
  <c r="B16" i="137"/>
  <c r="B18" i="1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Natasha Pozega</author>
  </authors>
  <commentList>
    <comment ref="J8" authorId="0" shapeId="0" xr:uid="{00000000-0006-0000-0300-000001000000}">
      <text>
        <r>
          <rPr>
            <b/>
            <sz val="9"/>
            <color indexed="81"/>
            <rFont val="Tahoma"/>
            <family val="2"/>
          </rPr>
          <t>Natasha Pozega:</t>
        </r>
        <r>
          <rPr>
            <sz val="9"/>
            <color indexed="81"/>
            <rFont val="Tahoma"/>
            <family val="2"/>
          </rPr>
          <t xml:space="preserve">
RPO moved to VPED
</t>
        </r>
      </text>
    </comment>
    <comment ref="J16" authorId="0" shapeId="0" xr:uid="{00000000-0006-0000-0300-000002000000}">
      <text>
        <r>
          <rPr>
            <b/>
            <sz val="9"/>
            <color indexed="81"/>
            <rFont val="Tahoma"/>
            <family val="2"/>
          </rPr>
          <t>Natasha Pozega:</t>
        </r>
        <r>
          <rPr>
            <sz val="9"/>
            <color indexed="81"/>
            <rFont val="Tahoma"/>
            <family val="2"/>
          </rPr>
          <t xml:space="preserve">
RPO moved to VPED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Windows User</author>
    <author>Carly McCready</author>
    <author>Kurt MacMillan</author>
    <author>Ben Balfour</author>
    <author>Suzanne Burdett</author>
  </authors>
  <commentList>
    <comment ref="O11" authorId="0" shapeId="0" xr:uid="{00000000-0006-0000-0C00-000001000000}">
      <text>
        <r>
          <rPr>
            <b/>
            <sz val="9"/>
            <color indexed="81"/>
            <rFont val="Tahoma"/>
            <charset val="1"/>
          </rPr>
          <t>Windows User:</t>
        </r>
        <r>
          <rPr>
            <sz val="9"/>
            <color indexed="81"/>
            <rFont val="Tahoma"/>
            <charset val="1"/>
          </rPr>
          <t xml:space="preserve">
New CL dept assistant to support department - $2000 from 31300 + $500 from 30100, $200 from VPSL spec01 and $200 from Equity Commissioner spec01
Paid $14 hourly for 10 hours/week</t>
        </r>
      </text>
    </comment>
    <comment ref="G18" authorId="1" shapeId="0" xr:uid="{00000000-0006-0000-0C00-000002000000}">
      <text>
        <r>
          <rPr>
            <b/>
            <sz val="9"/>
            <color indexed="81"/>
            <rFont val="Tahoma"/>
            <family val="2"/>
          </rPr>
          <t>Carly McCready:</t>
        </r>
        <r>
          <rPr>
            <sz val="9"/>
            <color indexed="81"/>
            <rFont val="Tahoma"/>
            <family val="2"/>
          </rPr>
          <t xml:space="preserve">
attending CAUCUS</t>
        </r>
      </text>
    </comment>
    <comment ref="I18" authorId="1" shapeId="0" xr:uid="{00000000-0006-0000-0C00-000003000000}">
      <text>
        <r>
          <rPr>
            <b/>
            <sz val="9"/>
            <color indexed="81"/>
            <rFont val="Tahoma"/>
            <family val="2"/>
          </rPr>
          <t>Carly McCready:</t>
        </r>
        <r>
          <rPr>
            <sz val="9"/>
            <color indexed="81"/>
            <rFont val="Tahoma"/>
            <family val="2"/>
          </rPr>
          <t xml:space="preserve">
Director CL + Special Events attending COCA</t>
        </r>
      </text>
    </comment>
    <comment ref="M18" authorId="2" shapeId="0" xr:uid="{00000000-0006-0000-0C00-000004000000}">
      <text>
        <r>
          <rPr>
            <b/>
            <sz val="9"/>
            <color indexed="81"/>
            <rFont val="Tahoma"/>
            <family val="2"/>
          </rPr>
          <t>Kurt MacMillan:</t>
        </r>
        <r>
          <rPr>
            <sz val="9"/>
            <color indexed="81"/>
            <rFont val="Tahoma"/>
            <family val="2"/>
          </rPr>
          <t xml:space="preserve">
New conf this year on Student engagement </t>
        </r>
      </text>
    </comment>
    <comment ref="O18" authorId="2" shapeId="0" xr:uid="{00000000-0006-0000-0C00-000005000000}">
      <text>
        <r>
          <rPr>
            <b/>
            <sz val="9"/>
            <color indexed="81"/>
            <rFont val="Tahoma"/>
            <charset val="1"/>
          </rPr>
          <t>Kurt MacMillan:</t>
        </r>
        <r>
          <rPr>
            <sz val="9"/>
            <color indexed="81"/>
            <rFont val="Tahoma"/>
            <charset val="1"/>
          </rPr>
          <t xml:space="preserve">
1 COCA + 1 AMICCUS + 2 school visit
</t>
        </r>
      </text>
    </comment>
    <comment ref="E19" authorId="3" shapeId="0" xr:uid="{00000000-0006-0000-0C00-000006000000}">
      <text>
        <r>
          <rPr>
            <b/>
            <sz val="9"/>
            <color indexed="81"/>
            <rFont val="Tahoma"/>
            <family val="2"/>
          </rPr>
          <t>Ben Balfour:</t>
        </r>
        <r>
          <rPr>
            <sz val="9"/>
            <color indexed="81"/>
            <rFont val="Tahoma"/>
            <family val="2"/>
          </rPr>
          <t xml:space="preserve">
Agreed that managers could take out staff once per year.  Otherwise covered under staff relations in general office</t>
        </r>
      </text>
    </comment>
    <comment ref="G19" authorId="4" shapeId="0" xr:uid="{00000000-0006-0000-0C00-000007000000}">
      <text>
        <r>
          <rPr>
            <b/>
            <sz val="9"/>
            <color indexed="81"/>
            <rFont val="Tahoma"/>
            <family val="2"/>
          </rPr>
          <t>Suzanne Burdett:</t>
        </r>
        <r>
          <rPr>
            <sz val="9"/>
            <color indexed="81"/>
            <rFont val="Tahoma"/>
            <family val="2"/>
          </rPr>
          <t xml:space="preserve">
$60/staff member per year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Brendan Lowther</author>
    <author>Brian Schwan</author>
    <author>Kurt MacMillan</author>
    <author>Windows User</author>
  </authors>
  <commentList>
    <comment ref="C10" authorId="0" shapeId="0" xr:uid="{00000000-0006-0000-0D00-000001000000}">
      <text>
        <r>
          <rPr>
            <b/>
            <sz val="8"/>
            <color indexed="81"/>
            <rFont val="Tahoma"/>
            <family val="2"/>
          </rPr>
          <t>Brendan Lowther:</t>
        </r>
        <r>
          <rPr>
            <sz val="8"/>
            <color indexed="81"/>
            <rFont val="Tahoma"/>
            <family val="2"/>
          </rPr>
          <t xml:space="preserve">
12 Coordinators x $200 x 3 terms
</t>
        </r>
      </text>
    </comment>
    <comment ref="I10" authorId="1" shapeId="0" xr:uid="{00000000-0006-0000-0D00-000002000000}">
      <text>
        <r>
          <rPr>
            <b/>
            <sz val="9"/>
            <color indexed="81"/>
            <rFont val="Tahoma"/>
            <family val="2"/>
          </rPr>
          <t>Brian Schwan:</t>
        </r>
        <r>
          <rPr>
            <sz val="9"/>
            <color indexed="81"/>
            <rFont val="Tahoma"/>
            <family val="2"/>
          </rPr>
          <t xml:space="preserve">
350 per term per coord x 24 z 3 terms</t>
        </r>
      </text>
    </comment>
    <comment ref="M10" authorId="2" shapeId="0" xr:uid="{00000000-0006-0000-0D00-000003000000}">
      <text>
        <r>
          <rPr>
            <b/>
            <sz val="9"/>
            <color indexed="81"/>
            <rFont val="Tahoma"/>
            <family val="2"/>
          </rPr>
          <t>Kurt MacMillan:</t>
        </r>
        <r>
          <rPr>
            <sz val="9"/>
            <color indexed="81"/>
            <rFont val="Tahoma"/>
            <family val="2"/>
          </rPr>
          <t xml:space="preserve">
Due to new service and multiple coordinators in some services (2 coord per service at $500 honoraria at once per term) </t>
        </r>
      </text>
    </comment>
    <comment ref="O10" authorId="3" shapeId="0" xr:uid="{00000000-0006-0000-0D00-000004000000}">
      <text>
        <r>
          <rPr>
            <b/>
            <sz val="9"/>
            <color indexed="81"/>
            <rFont val="Tahoma"/>
            <family val="2"/>
          </rPr>
          <t xml:space="preserve">Brendan Lowther:
</t>
        </r>
        <r>
          <rPr>
            <sz val="9"/>
            <color indexed="81"/>
            <rFont val="Tahoma"/>
            <family val="2"/>
          </rPr>
          <t>20 Coordinators x $500 x 3 terms. This does not include the Bike Centre if they go to PT Staff Manager. If not, we need to add $1000/term. 
Note: VPOF and VPSL have approved PT staff manager for Bike Centre out of its net surplus (revenues over expenses)</t>
        </r>
      </text>
    </comment>
    <comment ref="C11" authorId="0" shapeId="0" xr:uid="{00000000-0006-0000-0D00-000005000000}">
      <text>
        <r>
          <rPr>
            <b/>
            <sz val="8"/>
            <color indexed="81"/>
            <rFont val="Tahoma"/>
            <family val="2"/>
          </rPr>
          <t>Brendan Lowther:</t>
        </r>
        <r>
          <rPr>
            <sz val="8"/>
            <color indexed="81"/>
            <rFont val="Tahoma"/>
            <family val="2"/>
          </rPr>
          <t xml:space="preserve">
12 Coordinators x $30 (Gift) + $30 (Dinner) x 3 terms
+ $30 x 3 (Service Manager Meals)</t>
        </r>
      </text>
    </comment>
    <comment ref="M11" authorId="2" shapeId="0" xr:uid="{00000000-0006-0000-0D00-000006000000}">
      <text>
        <r>
          <rPr>
            <b/>
            <sz val="9"/>
            <color indexed="81"/>
            <rFont val="Tahoma"/>
            <family val="2"/>
          </rPr>
          <t>Kurt MacMillan:</t>
        </r>
        <r>
          <rPr>
            <sz val="9"/>
            <color indexed="81"/>
            <rFont val="Tahoma"/>
            <family val="2"/>
          </rPr>
          <t xml:space="preserve">
Over 3 terms there's 72 coordinators $30/gift and $30/dinner</t>
        </r>
      </text>
    </comment>
    <comment ref="O11" authorId="3" shapeId="0" xr:uid="{00000000-0006-0000-0D00-000007000000}">
      <text>
        <r>
          <rPr>
            <b/>
            <sz val="9"/>
            <color indexed="81"/>
            <rFont val="Tahoma"/>
            <family val="2"/>
          </rPr>
          <t>Brendan Lowther:</t>
        </r>
        <r>
          <rPr>
            <sz val="9"/>
            <color indexed="81"/>
            <rFont val="Tahoma"/>
            <family val="2"/>
          </rPr>
          <t xml:space="preserve">
$60 Appreciation per Coordinator x 20 x 3 Terms
* Does not include Bike Centre - Must add $360 if no PT Manager
</t>
        </r>
      </text>
    </comment>
    <comment ref="C14" authorId="0" shapeId="0" xr:uid="{00000000-0006-0000-0D00-000008000000}">
      <text>
        <r>
          <rPr>
            <b/>
            <sz val="8"/>
            <color indexed="81"/>
            <rFont val="Tahoma"/>
            <family val="2"/>
          </rPr>
          <t>Brendan Lowther:</t>
        </r>
        <r>
          <rPr>
            <sz val="8"/>
            <color indexed="81"/>
            <rFont val="Tahoma"/>
            <family val="2"/>
          </rPr>
          <t xml:space="preserve">
$200/term for various training sessions + $20/term for 12 coordinators and $20/term for 35 execs for "Team Building" budget</t>
        </r>
      </text>
    </comment>
    <comment ref="M14" authorId="2" shapeId="0" xr:uid="{00000000-0006-0000-0D00-000009000000}">
      <text>
        <r>
          <rPr>
            <b/>
            <sz val="9"/>
            <color indexed="81"/>
            <rFont val="Tahoma"/>
            <family val="2"/>
          </rPr>
          <t>Kurt MacMillan:</t>
        </r>
        <r>
          <rPr>
            <sz val="9"/>
            <color indexed="81"/>
            <rFont val="Tahoma"/>
            <family val="2"/>
          </rPr>
          <t xml:space="preserve">
$250/term for coordinator orientation and then meeting snacks</t>
        </r>
      </text>
    </comment>
    <comment ref="C17" authorId="0" shapeId="0" xr:uid="{00000000-0006-0000-0D00-00000A000000}">
      <text>
        <r>
          <rPr>
            <b/>
            <sz val="8"/>
            <color indexed="81"/>
            <rFont val="Tahoma"/>
            <family val="2"/>
          </rPr>
          <t>Brendan Lowther</t>
        </r>
      </text>
    </comment>
    <comment ref="C18" authorId="0" shapeId="0" xr:uid="{00000000-0006-0000-0D00-00000B000000}">
      <text>
        <r>
          <rPr>
            <b/>
            <sz val="8"/>
            <color indexed="81"/>
            <rFont val="Tahoma"/>
            <family val="2"/>
          </rPr>
          <t>Brendan Lowther:</t>
        </r>
        <r>
          <rPr>
            <sz val="8"/>
            <color indexed="81"/>
            <rFont val="Tahoma"/>
            <family val="2"/>
          </rPr>
          <t xml:space="preserve">
Necessary or under Campus Life Dept?</t>
        </r>
      </text>
    </comment>
    <comment ref="M21" authorId="2" shapeId="0" xr:uid="{00000000-0006-0000-0D00-00000C000000}">
      <text>
        <r>
          <rPr>
            <b/>
            <sz val="9"/>
            <color indexed="81"/>
            <rFont val="Tahoma"/>
            <family val="2"/>
          </rPr>
          <t>Kurt MacMillan:</t>
        </r>
        <r>
          <rPr>
            <sz val="9"/>
            <color indexed="81"/>
            <rFont val="Tahoma"/>
            <family val="2"/>
          </rPr>
          <t xml:space="preserve">
New position approved at GM to support seeking services. ~26wks at $15.50, 15hr/wk</t>
        </r>
      </text>
    </comment>
    <comment ref="O21" authorId="3" shapeId="0" xr:uid="{00000000-0006-0000-0D00-00000D000000}">
      <text>
        <r>
          <rPr>
            <b/>
            <sz val="9"/>
            <color indexed="81"/>
            <rFont val="Tahoma"/>
            <charset val="1"/>
          </rPr>
          <t>Windows User:</t>
        </r>
        <r>
          <rPr>
            <sz val="9"/>
            <color indexed="81"/>
            <rFont val="Tahoma"/>
            <charset val="1"/>
          </rPr>
          <t xml:space="preserve">
Money must be used for PT support based on services by usage rates. All services should see benefit, notes Bucget &amp; Appropriations Committee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Kumar Patel</author>
    <author>Kurt MacMillan</author>
    <author>Windows User</author>
    <author>nbest</author>
    <author>Natasha Pozega</author>
    <author>Benjamin Balfour</author>
    <author>Ben Balfour</author>
    <author>Clark</author>
    <author>David Collins</author>
    <author>Carly McCready</author>
  </authors>
  <commentList>
    <comment ref="G6" authorId="0" shapeId="0" xr:uid="{00000000-0006-0000-0E00-000001000000}">
      <text>
        <r>
          <rPr>
            <b/>
            <sz val="8"/>
            <color indexed="81"/>
            <rFont val="Tahoma"/>
            <family val="2"/>
          </rPr>
          <t>Kumar Patel:</t>
        </r>
        <r>
          <rPr>
            <sz val="8"/>
            <color indexed="81"/>
            <rFont val="Tahoma"/>
            <family val="2"/>
          </rPr>
          <t xml:space="preserve">
Based on 50 cotton candy machine rentals at 20 dollars each</t>
        </r>
      </text>
    </comment>
    <comment ref="S6" authorId="1" shapeId="0" xr:uid="{00000000-0006-0000-0E00-000002000000}">
      <text>
        <r>
          <rPr>
            <b/>
            <sz val="9"/>
            <color indexed="81"/>
            <rFont val="Tahoma"/>
            <family val="2"/>
          </rPr>
          <t>Kurt MacMillan:</t>
        </r>
        <r>
          <rPr>
            <sz val="9"/>
            <color indexed="81"/>
            <rFont val="Tahoma"/>
            <family val="2"/>
          </rPr>
          <t xml:space="preserve">
For BBQ and projector rentals
</t>
        </r>
      </text>
    </comment>
    <comment ref="U6" authorId="2" shapeId="0" xr:uid="{00000000-0006-0000-0E00-000003000000}">
      <text>
        <r>
          <rPr>
            <b/>
            <sz val="9"/>
            <color indexed="81"/>
            <rFont val="Tahoma"/>
            <charset val="1"/>
          </rPr>
          <t>Windows User:</t>
        </r>
        <r>
          <rPr>
            <sz val="9"/>
            <color indexed="81"/>
            <rFont val="Tahoma"/>
            <charset val="1"/>
          </rPr>
          <t xml:space="preserve">
looking at opportunities for BBQ rental to continue </t>
        </r>
      </text>
    </comment>
    <comment ref="G7" authorId="0" shapeId="0" xr:uid="{00000000-0006-0000-0E00-000004000000}">
      <text>
        <r>
          <rPr>
            <b/>
            <sz val="8"/>
            <color indexed="81"/>
            <rFont val="Tahoma"/>
            <family val="2"/>
          </rPr>
          <t>Kumar Patel:</t>
        </r>
        <r>
          <rPr>
            <sz val="8"/>
            <color indexed="81"/>
            <rFont val="Tahoma"/>
            <family val="2"/>
          </rPr>
          <t xml:space="preserve">
Based on 150 cartons of cotton candy sugar at 10 dollars each</t>
        </r>
      </text>
    </comment>
    <comment ref="T8" authorId="2" shapeId="0" xr:uid="{00000000-0006-0000-0E00-000005000000}">
      <text>
        <r>
          <rPr>
            <b/>
            <sz val="9"/>
            <color indexed="81"/>
            <rFont val="Tahoma"/>
            <family val="2"/>
          </rPr>
          <t>Windows User:</t>
        </r>
        <r>
          <rPr>
            <sz val="9"/>
            <color indexed="81"/>
            <rFont val="Tahoma"/>
            <family val="2"/>
          </rPr>
          <t xml:space="preserve">
Accounts not yet closed out</t>
        </r>
      </text>
    </comment>
    <comment ref="U8" authorId="2" shapeId="0" xr:uid="{00000000-0006-0000-0E00-000006000000}">
      <text>
        <r>
          <rPr>
            <b/>
            <sz val="9"/>
            <color indexed="81"/>
            <rFont val="Tahoma"/>
            <charset val="1"/>
          </rPr>
          <t>Windows User:</t>
        </r>
        <r>
          <rPr>
            <sz val="9"/>
            <color indexed="81"/>
            <rFont val="Tahoma"/>
            <charset val="1"/>
          </rPr>
          <t xml:space="preserve">
When clubs dissolve, bank accounts go into surplus</t>
        </r>
      </text>
    </comment>
    <comment ref="G13" authorId="0" shapeId="0" xr:uid="{00000000-0006-0000-0E00-000007000000}">
      <text>
        <r>
          <rPr>
            <b/>
            <sz val="8"/>
            <color indexed="81"/>
            <rFont val="Tahoma"/>
            <family val="2"/>
          </rPr>
          <t>Kumar Patel:</t>
        </r>
        <r>
          <rPr>
            <sz val="8"/>
            <color indexed="81"/>
            <rFont val="Tahoma"/>
            <family val="2"/>
          </rPr>
          <t xml:space="preserve">
Will cover operations of the Internal Services Director, Services Manager, and Clubs Manager (three full-time staff)</t>
        </r>
      </text>
    </comment>
    <comment ref="C14" authorId="3" shapeId="0" xr:uid="{00000000-0006-0000-0E00-000008000000}">
      <text>
        <r>
          <rPr>
            <b/>
            <sz val="8"/>
            <color indexed="81"/>
            <rFont val="Tahoma"/>
            <family val="2"/>
          </rPr>
          <t>nbest:</t>
        </r>
        <r>
          <rPr>
            <sz val="8"/>
            <color indexed="81"/>
            <rFont val="Tahoma"/>
            <family val="2"/>
          </rPr>
          <t xml:space="preserve">
This is for another assistant for 2/3 of the yea @11/hr for 20 hours. Includes the increase of 5 hours per week for Ashlea this term.  Also includes the .25 raise each term for the original assistant for performance. </t>
        </r>
      </text>
    </comment>
    <comment ref="G14" authorId="0" shapeId="0" xr:uid="{00000000-0006-0000-0E00-000009000000}">
      <text>
        <r>
          <rPr>
            <b/>
            <sz val="8"/>
            <color indexed="81"/>
            <rFont val="Tahoma"/>
            <family val="2"/>
          </rPr>
          <t>Kumar Patel:</t>
        </r>
        <r>
          <rPr>
            <sz val="8"/>
            <color indexed="81"/>
            <rFont val="Tahoma"/>
            <family val="2"/>
          </rPr>
          <t xml:space="preserve">
One full-time student for the summer term. Not using part-time students anymore (replaced by full-time clubs manager)</t>
        </r>
      </text>
    </comment>
    <comment ref="H14" authorId="4" shapeId="0" xr:uid="{00000000-0006-0000-0E00-00000A000000}">
      <text>
        <r>
          <rPr>
            <b/>
            <sz val="8"/>
            <color indexed="81"/>
            <rFont val="Tahoma"/>
            <family val="2"/>
          </rPr>
          <t>Natasha Pozega:</t>
        </r>
        <r>
          <rPr>
            <sz val="8"/>
            <color indexed="81"/>
            <rFont val="Tahoma"/>
            <family val="2"/>
          </rPr>
          <t xml:space="preserve">
Now a Full-time position
</t>
        </r>
      </text>
    </comment>
    <comment ref="K14" authorId="5" shapeId="0" xr:uid="{00000000-0006-0000-0E00-00000B000000}">
      <text>
        <r>
          <rPr>
            <b/>
            <sz val="9"/>
            <color indexed="81"/>
            <rFont val="Tahoma"/>
            <family val="2"/>
          </rPr>
          <t>Benjamin Balfour:</t>
        </r>
        <r>
          <rPr>
            <sz val="9"/>
            <color indexed="81"/>
            <rFont val="Tahoma"/>
            <family val="2"/>
          </rPr>
          <t xml:space="preserve">
remove 375 only paying 3/4 of the salary for the work study.  Plus BBQ assistant.</t>
        </r>
      </text>
    </comment>
    <comment ref="S14" authorId="1" shapeId="0" xr:uid="{00000000-0006-0000-0E00-00000C000000}">
      <text>
        <r>
          <rPr>
            <b/>
            <sz val="9"/>
            <color indexed="81"/>
            <rFont val="Tahoma"/>
            <family val="2"/>
          </rPr>
          <t xml:space="preserve">Savannah Richardson:
</t>
        </r>
        <r>
          <rPr>
            <sz val="9"/>
            <color indexed="81"/>
            <rFont val="Tahoma"/>
            <family val="2"/>
          </rPr>
          <t>S18: $14, up to 10hr/wk for 13wks ($1820)
F18: $14.50, up to 10hr/wk for 13 wks ($1885)
W18: $14.50, up to 10hrs/wk for 13wks ($1885)</t>
        </r>
      </text>
    </comment>
    <comment ref="U14" authorId="2" shapeId="0" xr:uid="{00000000-0006-0000-0E00-00000D000000}">
      <text>
        <r>
          <rPr>
            <b/>
            <sz val="9"/>
            <color indexed="81"/>
            <rFont val="Tahoma"/>
            <charset val="1"/>
          </rPr>
          <t>Windows User:</t>
        </r>
        <r>
          <rPr>
            <sz val="9"/>
            <color indexed="81"/>
            <rFont val="Tahoma"/>
            <charset val="1"/>
          </rPr>
          <t xml:space="preserve">
$14.50/hr for 10/wk</t>
        </r>
      </text>
    </comment>
    <comment ref="K15" authorId="5" shapeId="0" xr:uid="{00000000-0006-0000-0E00-00000E000000}">
      <text>
        <r>
          <rPr>
            <b/>
            <sz val="9"/>
            <color indexed="81"/>
            <rFont val="Tahoma"/>
            <family val="2"/>
          </rPr>
          <t>Benjamin Balfour:new clubs support team</t>
        </r>
      </text>
    </comment>
    <comment ref="U15" authorId="2" shapeId="0" xr:uid="{00000000-0006-0000-0E00-00000F000000}">
      <text>
        <r>
          <rPr>
            <b/>
            <sz val="9"/>
            <color indexed="81"/>
            <rFont val="Tahoma"/>
            <charset val="1"/>
          </rPr>
          <t>Windows User:</t>
        </r>
        <r>
          <rPr>
            <sz val="9"/>
            <color indexed="81"/>
            <rFont val="Tahoma"/>
            <charset val="1"/>
          </rPr>
          <t xml:space="preserve">
10 Campus support team term* 3terms * $20/CST</t>
        </r>
      </text>
    </comment>
    <comment ref="C16" authorId="3" shapeId="0" xr:uid="{00000000-0006-0000-0E00-000010000000}">
      <text>
        <r>
          <rPr>
            <b/>
            <sz val="8"/>
            <color indexed="81"/>
            <rFont val="Tahoma"/>
            <family val="2"/>
          </rPr>
          <t>nbest:</t>
        </r>
        <r>
          <rPr>
            <sz val="8"/>
            <color indexed="81"/>
            <rFont val="Tahoma"/>
            <family val="2"/>
          </rPr>
          <t xml:space="preserve">
Director and assistant phones, also accounts for many long distance calls to club execs and businesses</t>
        </r>
      </text>
    </comment>
    <comment ref="C17" authorId="3" shapeId="0" xr:uid="{00000000-0006-0000-0E00-000011000000}">
      <text>
        <r>
          <rPr>
            <b/>
            <sz val="8"/>
            <color indexed="81"/>
            <rFont val="Tahoma"/>
            <family val="2"/>
          </rPr>
          <t>nbest:</t>
        </r>
        <r>
          <rPr>
            <sz val="8"/>
            <color indexed="81"/>
            <rFont val="Tahoma"/>
            <family val="2"/>
          </rPr>
          <t xml:space="preserve">
All included in the VPIN's budget</t>
        </r>
      </text>
    </comment>
    <comment ref="C18" authorId="3" shapeId="0" xr:uid="{00000000-0006-0000-0E00-000012000000}">
      <text>
        <r>
          <rPr>
            <b/>
            <sz val="8"/>
            <color indexed="81"/>
            <rFont val="Tahoma"/>
            <family val="2"/>
          </rPr>
          <t>nbest:</t>
        </r>
        <r>
          <rPr>
            <sz val="8"/>
            <color indexed="81"/>
            <rFont val="Tahoma"/>
            <family val="2"/>
          </rPr>
          <t xml:space="preserve">
Used by some services before codes are given and for backups of club documents and new record keeping procedures
</t>
        </r>
      </text>
    </comment>
    <comment ref="C19" authorId="3" shapeId="0" xr:uid="{00000000-0006-0000-0E00-000013000000}">
      <text>
        <r>
          <rPr>
            <b/>
            <sz val="8"/>
            <color indexed="81"/>
            <rFont val="Tahoma"/>
            <family val="2"/>
          </rPr>
          <t>nbest:</t>
        </r>
        <r>
          <rPr>
            <sz val="8"/>
            <color indexed="81"/>
            <rFont val="Tahoma"/>
            <family val="2"/>
          </rPr>
          <t xml:space="preserve">
Includes all normal stuff, plus the purchase of two foldable tables for clubs use for outside events totalling $250, and in need of a new computer for 2nd clubs and service assistant amortized for 4 years at 900, and restocking of materials in the clubs resource room
- new services projector
</t>
        </r>
      </text>
    </comment>
    <comment ref="K19" authorId="6" shapeId="0" xr:uid="{00000000-0006-0000-0E00-000014000000}">
      <text>
        <r>
          <rPr>
            <b/>
            <sz val="9"/>
            <color indexed="81"/>
            <rFont val="Tahoma"/>
            <family val="2"/>
          </rPr>
          <t>Ben Balfour:</t>
        </r>
        <r>
          <rPr>
            <sz val="9"/>
            <color indexed="81"/>
            <rFont val="Tahoma"/>
            <family val="2"/>
          </rPr>
          <t xml:space="preserve">
Does this include art supplies?  Why was there such a large amount spent in 13/14</t>
        </r>
      </text>
    </comment>
    <comment ref="C20" authorId="3" shapeId="0" xr:uid="{00000000-0006-0000-0E00-000015000000}">
      <text>
        <r>
          <rPr>
            <b/>
            <sz val="8"/>
            <color indexed="81"/>
            <rFont val="Tahoma"/>
            <family val="2"/>
          </rPr>
          <t>nbest:</t>
        </r>
        <r>
          <rPr>
            <sz val="8"/>
            <color indexed="81"/>
            <rFont val="Tahoma"/>
            <family val="2"/>
          </rPr>
          <t xml:space="preserve">
for food at training meetings that happen 2 times a term (1 for clubs and 1 for services), and new iniitative of clubs appreciation day, feedback from clubs was that the EOT celebrations were too late to network, so this allows them an early opportunity to netowrk as well as be trained at the same time</t>
        </r>
      </text>
    </comment>
    <comment ref="G20" authorId="0" shapeId="0" xr:uid="{00000000-0006-0000-0E00-000016000000}">
      <text>
        <r>
          <rPr>
            <b/>
            <sz val="8"/>
            <color indexed="81"/>
            <rFont val="Tahoma"/>
            <family val="2"/>
          </rPr>
          <t>Kumar Patel:</t>
        </r>
        <r>
          <rPr>
            <sz val="8"/>
            <color indexed="81"/>
            <rFont val="Tahoma"/>
            <family val="2"/>
          </rPr>
          <t xml:space="preserve">
Increase to cover expenses of running new department</t>
        </r>
      </text>
    </comment>
    <comment ref="K20" authorId="5" shapeId="0" xr:uid="{00000000-0006-0000-0E00-000017000000}">
      <text>
        <r>
          <rPr>
            <b/>
            <sz val="9"/>
            <color indexed="81"/>
            <rFont val="Tahoma"/>
            <family val="2"/>
          </rPr>
          <t>Benjamin Balfour:</t>
        </r>
        <r>
          <rPr>
            <sz val="9"/>
            <color indexed="81"/>
            <rFont val="Tahoma"/>
            <family val="2"/>
          </rPr>
          <t xml:space="preserve">
Increased interaction with club execs.  Training sessions avec food</t>
        </r>
      </text>
    </comment>
    <comment ref="G21" authorId="0" shapeId="0" xr:uid="{00000000-0006-0000-0E00-000018000000}">
      <text>
        <r>
          <rPr>
            <b/>
            <sz val="8"/>
            <color indexed="81"/>
            <rFont val="Tahoma"/>
            <family val="2"/>
          </rPr>
          <t>Kumar Patel:</t>
        </r>
        <r>
          <rPr>
            <sz val="8"/>
            <color indexed="81"/>
            <rFont val="Tahoma"/>
            <family val="2"/>
          </rPr>
          <t xml:space="preserve">
Increase to allow for PD based on new roles. Covers three staff.</t>
        </r>
      </text>
    </comment>
    <comment ref="C22" authorId="3" shapeId="0" xr:uid="{00000000-0006-0000-0E00-000019000000}">
      <text>
        <r>
          <rPr>
            <b/>
            <sz val="8"/>
            <color indexed="81"/>
            <rFont val="Tahoma"/>
            <family val="2"/>
          </rPr>
          <t>nbest:</t>
        </r>
        <r>
          <rPr>
            <sz val="8"/>
            <color indexed="81"/>
            <rFont val="Tahoma"/>
            <family val="2"/>
          </rPr>
          <t xml:space="preserve">
- staff luncheon, assistant gifts</t>
        </r>
      </text>
    </comment>
    <comment ref="U22" authorId="2" shapeId="0" xr:uid="{00000000-0006-0000-0E00-00001A000000}">
      <text>
        <r>
          <rPr>
            <b/>
            <sz val="9"/>
            <color indexed="81"/>
            <rFont val="Tahoma"/>
            <charset val="1"/>
          </rPr>
          <t>Windows User:</t>
        </r>
        <r>
          <rPr>
            <sz val="9"/>
            <color indexed="81"/>
            <rFont val="Tahoma"/>
            <charset val="1"/>
          </rPr>
          <t xml:space="preserve">
$20/term per PT staff
Should be $60 for future terms. This year no FTE during Spring term because of staf on secondment</t>
        </r>
      </text>
    </comment>
    <comment ref="E23" authorId="7" shapeId="0" xr:uid="{00000000-0006-0000-0E00-00001B000000}">
      <text>
        <r>
          <rPr>
            <b/>
            <sz val="9"/>
            <color indexed="81"/>
            <rFont val="Tahoma"/>
            <family val="2"/>
          </rPr>
          <t>Kumar: 2 Computers $600/year until 2014/2015</t>
        </r>
        <r>
          <rPr>
            <sz val="9"/>
            <color indexed="81"/>
            <rFont val="Tahoma"/>
            <family val="2"/>
          </rPr>
          <t xml:space="preserve">
</t>
        </r>
      </text>
    </comment>
    <comment ref="G23" authorId="0" shapeId="0" xr:uid="{00000000-0006-0000-0E00-00001C000000}">
      <text>
        <r>
          <rPr>
            <b/>
            <sz val="8"/>
            <color indexed="81"/>
            <rFont val="Tahoma"/>
            <family val="2"/>
          </rPr>
          <t>Kumar Patel:</t>
        </r>
        <r>
          <rPr>
            <sz val="8"/>
            <color indexed="81"/>
            <rFont val="Tahoma"/>
            <family val="2"/>
          </rPr>
          <t xml:space="preserve">
Cotton Candy Machine Amortization (3years)</t>
        </r>
      </text>
    </comment>
    <comment ref="I23" authorId="8" shapeId="0" xr:uid="{00000000-0006-0000-0E00-00001D000000}">
      <text>
        <r>
          <rPr>
            <b/>
            <sz val="8"/>
            <color indexed="81"/>
            <rFont val="Tahoma"/>
            <family val="2"/>
          </rPr>
          <t>David Collins:</t>
        </r>
        <r>
          <rPr>
            <sz val="8"/>
            <color indexed="81"/>
            <rFont val="Tahoma"/>
            <family val="2"/>
          </rPr>
          <t xml:space="preserve">
Service Renovations
</t>
        </r>
      </text>
    </comment>
    <comment ref="S24" authorId="1" shapeId="0" xr:uid="{00000000-0006-0000-0E00-00001E000000}">
      <text>
        <r>
          <rPr>
            <b/>
            <sz val="9"/>
            <color indexed="81"/>
            <rFont val="Tahoma"/>
            <family val="2"/>
          </rPr>
          <t>Kurt MacMillan:</t>
        </r>
        <r>
          <rPr>
            <sz val="9"/>
            <color indexed="81"/>
            <rFont val="Tahoma"/>
            <family val="2"/>
          </rPr>
          <t xml:space="preserve">
$3200 for club talent show + $250 spring and fall engagement project
+ $100/term club misc</t>
        </r>
      </text>
    </comment>
    <comment ref="C25" authorId="3" shapeId="0" xr:uid="{00000000-0006-0000-0E00-00001F000000}">
      <text>
        <r>
          <rPr>
            <b/>
            <sz val="8"/>
            <color indexed="81"/>
            <rFont val="Tahoma"/>
            <family val="2"/>
          </rPr>
          <t>nbest:</t>
        </r>
        <r>
          <rPr>
            <sz val="8"/>
            <color indexed="81"/>
            <rFont val="Tahoma"/>
            <family val="2"/>
          </rPr>
          <t xml:space="preserve">
Every year this increased by 1000, until recently it has gone to 1500 at $75 per club. </t>
        </r>
      </text>
    </comment>
    <comment ref="K25" authorId="5" shapeId="0" xr:uid="{00000000-0006-0000-0E00-000020000000}">
      <text>
        <r>
          <rPr>
            <b/>
            <sz val="9"/>
            <color indexed="81"/>
            <rFont val="Tahoma"/>
            <family val="2"/>
          </rPr>
          <t>Benjamin Balfour:</t>
        </r>
        <r>
          <rPr>
            <sz val="9"/>
            <color indexed="81"/>
            <rFont val="Tahoma"/>
            <family val="2"/>
          </rPr>
          <t xml:space="preserve">
$75 per club went over last year </t>
        </r>
      </text>
    </comment>
    <comment ref="L25" authorId="9" shapeId="0" xr:uid="{00000000-0006-0000-0E00-000021000000}">
      <text>
        <r>
          <rPr>
            <b/>
            <sz val="9"/>
            <color indexed="81"/>
            <rFont val="Tahoma"/>
            <family val="2"/>
          </rPr>
          <t>Carly McCready:</t>
        </r>
        <r>
          <rPr>
            <sz val="9"/>
            <color indexed="81"/>
            <rFont val="Tahoma"/>
            <family val="2"/>
          </rPr>
          <t xml:space="preserve">
incl "surplus expenses clubs"
</t>
        </r>
      </text>
    </comment>
    <comment ref="S25" authorId="1" shapeId="0" xr:uid="{00000000-0006-0000-0E00-000022000000}">
      <text>
        <r>
          <rPr>
            <b/>
            <sz val="9"/>
            <color indexed="81"/>
            <rFont val="Tahoma"/>
            <family val="2"/>
          </rPr>
          <t>Kurt MacMillan:</t>
        </r>
        <r>
          <rPr>
            <sz val="9"/>
            <color indexed="81"/>
            <rFont val="Tahoma"/>
            <family val="2"/>
          </rPr>
          <t xml:space="preserve">
Each club is allotted up to $75/term </t>
        </r>
      </text>
    </comment>
    <comment ref="U25" authorId="2" shapeId="0" xr:uid="{00000000-0006-0000-0E00-000023000000}">
      <text>
        <r>
          <rPr>
            <b/>
            <sz val="9"/>
            <color indexed="81"/>
            <rFont val="Tahoma"/>
            <charset val="1"/>
          </rPr>
          <t>Windows User:</t>
        </r>
        <r>
          <rPr>
            <sz val="9"/>
            <color indexed="81"/>
            <rFont val="Tahoma"/>
            <charset val="1"/>
          </rPr>
          <t xml:space="preserve">
$75/club (100 clubs/fall, 100 clubs winter, 50 clubs spring)</t>
        </r>
      </text>
    </comment>
    <comment ref="G26" authorId="0" shapeId="0" xr:uid="{00000000-0006-0000-0E00-000024000000}">
      <text>
        <r>
          <rPr>
            <b/>
            <sz val="8"/>
            <color indexed="81"/>
            <rFont val="Tahoma"/>
            <family val="2"/>
          </rPr>
          <t>Kumar Patel:</t>
        </r>
        <r>
          <rPr>
            <sz val="8"/>
            <color indexed="81"/>
            <rFont val="Tahoma"/>
            <family val="2"/>
          </rPr>
          <t xml:space="preserve">
Plaques were purchased last year, just engravings and deposits now</t>
        </r>
      </text>
    </comment>
    <comment ref="S26" authorId="1" shapeId="0" xr:uid="{00000000-0006-0000-0E00-000025000000}">
      <text>
        <r>
          <rPr>
            <b/>
            <sz val="9"/>
            <color indexed="81"/>
            <rFont val="Tahoma"/>
            <family val="2"/>
          </rPr>
          <t>Kurt MacMillan:</t>
        </r>
        <r>
          <rPr>
            <sz val="9"/>
            <color indexed="81"/>
            <rFont val="Tahoma"/>
            <family val="2"/>
          </rPr>
          <t xml:space="preserve">
8 awards x 3 terms x ($50/winner + $25 honourable mention) + $200
 in case co-winners $150 for updating plaque</t>
        </r>
      </text>
    </comment>
    <comment ref="U26" authorId="2" shapeId="0" xr:uid="{00000000-0006-0000-0E00-000026000000}">
      <text>
        <r>
          <rPr>
            <b/>
            <sz val="9"/>
            <color indexed="81"/>
            <rFont val="Tahoma"/>
            <charset val="1"/>
          </rPr>
          <t>Windows User:</t>
        </r>
        <r>
          <rPr>
            <sz val="9"/>
            <color indexed="81"/>
            <rFont val="Tahoma"/>
            <charset val="1"/>
          </rPr>
          <t xml:space="preserve">
Plaques $165/term * 3 terms, 7 winners * $50, 7 Runner Up * $25</t>
        </r>
      </text>
    </comment>
    <comment ref="C27" authorId="3" shapeId="0" xr:uid="{00000000-0006-0000-0E00-000027000000}">
      <text>
        <r>
          <rPr>
            <b/>
            <sz val="8"/>
            <color indexed="81"/>
            <rFont val="Tahoma"/>
            <family val="2"/>
          </rPr>
          <t>nbest:</t>
        </r>
        <r>
          <rPr>
            <sz val="8"/>
            <color indexed="81"/>
            <rFont val="Tahoma"/>
            <family val="2"/>
          </rPr>
          <t xml:space="preserve">
100 max per coord x 2 coords per term approx x x3 terms x 7 services</t>
        </r>
      </text>
    </comment>
    <comment ref="G27" authorId="0" shapeId="0" xr:uid="{00000000-0006-0000-0E00-000028000000}">
      <text>
        <r>
          <rPr>
            <b/>
            <sz val="8"/>
            <color indexed="81"/>
            <rFont val="Tahoma"/>
            <family val="2"/>
          </rPr>
          <t>Kumar Patel:</t>
        </r>
        <r>
          <rPr>
            <sz val="8"/>
            <color indexed="81"/>
            <rFont val="Tahoma"/>
            <family val="2"/>
          </rPr>
          <t xml:space="preserve">
Honorarium increased to $200 per coordinator. 8 services with 2 coordinators each.</t>
        </r>
      </text>
    </comment>
    <comment ref="I27" authorId="8" shapeId="0" xr:uid="{00000000-0006-0000-0E00-000029000000}">
      <text>
        <r>
          <rPr>
            <b/>
            <sz val="8"/>
            <color indexed="81"/>
            <rFont val="Tahoma"/>
            <family val="2"/>
          </rPr>
          <t>David Collins:</t>
        </r>
        <r>
          <rPr>
            <sz val="8"/>
            <color indexed="81"/>
            <rFont val="Tahoma"/>
            <family val="2"/>
          </rPr>
          <t xml:space="preserve">
Now under Services General
</t>
        </r>
      </text>
    </comment>
    <comment ref="U28" authorId="2" shapeId="0" xr:uid="{00000000-0006-0000-0E00-00002A000000}">
      <text>
        <r>
          <rPr>
            <b/>
            <sz val="9"/>
            <color indexed="81"/>
            <rFont val="Tahoma"/>
            <charset val="1"/>
          </rPr>
          <t>Windows User:</t>
        </r>
        <r>
          <rPr>
            <sz val="9"/>
            <color indexed="81"/>
            <rFont val="Tahoma"/>
            <charset val="1"/>
          </rPr>
          <t xml:space="preserve">
supply maintenance (utensils)</t>
        </r>
      </text>
    </comment>
    <comment ref="K29" authorId="5" shapeId="0" xr:uid="{00000000-0006-0000-0E00-00002B000000}">
      <text>
        <r>
          <rPr>
            <b/>
            <sz val="9"/>
            <color indexed="81"/>
            <rFont val="Tahoma"/>
            <family val="2"/>
          </rPr>
          <t>Benjamin Balfour:</t>
        </r>
        <r>
          <rPr>
            <sz val="9"/>
            <color indexed="81"/>
            <rFont val="Tahoma"/>
            <family val="2"/>
          </rPr>
          <t xml:space="preserve">
annual event in the winter term. Cultural based performances. Biggest cost is the stage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DeL</author>
    <author>nbest</author>
    <author>Kumar Patel</author>
    <author>Brendan Lowther</author>
    <author>Kurt MacMillan</author>
    <author>Carly McCready</author>
    <author>s4cook</author>
    <author>Windows User</author>
    <author>Maaz Yasin</author>
  </authors>
  <commentList>
    <comment ref="B11" authorId="0" shapeId="0" xr:uid="{00000000-0006-0000-0F00-000001000000}">
      <text>
        <r>
          <rPr>
            <b/>
            <sz val="9"/>
            <color indexed="81"/>
            <rFont val="Tahoma"/>
            <family val="2"/>
          </rPr>
          <t>DeL:</t>
        </r>
        <r>
          <rPr>
            <sz val="9"/>
            <color indexed="81"/>
            <rFont val="Tahoma"/>
            <family val="2"/>
          </rPr>
          <t xml:space="preserve">
new line</t>
        </r>
      </text>
    </comment>
    <comment ref="C11" authorId="1" shapeId="0" xr:uid="{00000000-0006-0000-0F00-000002000000}">
      <text>
        <r>
          <rPr>
            <b/>
            <sz val="8"/>
            <color indexed="81"/>
            <rFont val="Tahoma"/>
            <family val="2"/>
          </rPr>
          <t>nbest:</t>
        </r>
        <r>
          <rPr>
            <sz val="8"/>
            <color indexed="81"/>
            <rFont val="Tahoma"/>
            <family val="2"/>
          </rPr>
          <t xml:space="preserve">
Have about 120 volunteers over a year span, and never provides food or anything for meetings unlike most services
</t>
        </r>
      </text>
    </comment>
    <comment ref="G11" authorId="2" shapeId="0" xr:uid="{00000000-0006-0000-0F00-000003000000}">
      <text>
        <r>
          <rPr>
            <b/>
            <sz val="8"/>
            <color indexed="81"/>
            <rFont val="Tahoma"/>
            <family val="2"/>
          </rPr>
          <t>Kumar Patel:</t>
        </r>
        <r>
          <rPr>
            <sz val="8"/>
            <color indexed="81"/>
            <rFont val="Tahoma"/>
            <family val="2"/>
          </rPr>
          <t xml:space="preserve">
Increased to match volunteer appreciation matrix of other services</t>
        </r>
      </text>
    </comment>
    <comment ref="I11" authorId="3" shapeId="0" xr:uid="{00000000-0006-0000-0F00-000004000000}">
      <text>
        <r>
          <rPr>
            <b/>
            <sz val="8"/>
            <color indexed="81"/>
            <rFont val="Tahoma"/>
            <family val="2"/>
          </rPr>
          <t>Brendan Lowther:</t>
        </r>
        <r>
          <rPr>
            <sz val="8"/>
            <color indexed="81"/>
            <rFont val="Tahoma"/>
            <family val="2"/>
          </rPr>
          <t xml:space="preserve">
Average 45 Members - 8Exec @ $30/term, 35 Volunteers @ $10/term - Coordinator and Manger meals @ $30/term</t>
        </r>
      </text>
    </comment>
    <comment ref="S11" authorId="4" shapeId="0" xr:uid="{00000000-0006-0000-0F00-000005000000}">
      <text>
        <r>
          <rPr>
            <b/>
            <sz val="9"/>
            <color indexed="81"/>
            <rFont val="Tahoma"/>
            <family val="2"/>
          </rPr>
          <t>Kurt MacMillan:</t>
        </r>
        <r>
          <rPr>
            <sz val="9"/>
            <color indexed="81"/>
            <rFont val="Tahoma"/>
            <family val="2"/>
          </rPr>
          <t xml:space="preserve">
• Spring – 20 members
• Fall – 40 members
• Winter – 40 members
o Total – 100 members x $20.00 = $2,000
Executives – 21 x $30.00 = $630.00
</t>
        </r>
      </text>
    </comment>
    <comment ref="I12" authorId="3" shapeId="0" xr:uid="{00000000-0006-0000-0F00-000006000000}">
      <text>
        <r>
          <rPr>
            <b/>
            <sz val="8"/>
            <color indexed="81"/>
            <rFont val="Tahoma"/>
            <family val="2"/>
          </rPr>
          <t>Brendan Lowther:</t>
        </r>
        <r>
          <rPr>
            <sz val="8"/>
            <color indexed="81"/>
            <rFont val="Tahoma"/>
            <family val="2"/>
          </rPr>
          <t xml:space="preserve">
They now have a 2nd phone line
Could this be 500?</t>
        </r>
      </text>
    </comment>
    <comment ref="I13" authorId="3" shapeId="0" xr:uid="{00000000-0006-0000-0F00-000007000000}">
      <text>
        <r>
          <rPr>
            <b/>
            <sz val="8"/>
            <color indexed="81"/>
            <rFont val="Tahoma"/>
            <family val="2"/>
          </rPr>
          <t>Brendan Lowther:</t>
        </r>
        <r>
          <rPr>
            <sz val="8"/>
            <color indexed="81"/>
            <rFont val="Tahoma"/>
            <family val="2"/>
          </rPr>
          <t xml:space="preserve">
Increase due to increased need</t>
        </r>
      </text>
    </comment>
    <comment ref="M13" authorId="5" shapeId="0" xr:uid="{00000000-0006-0000-0F00-000008000000}">
      <text>
        <r>
          <rPr>
            <b/>
            <sz val="9"/>
            <color indexed="81"/>
            <rFont val="Tahoma"/>
            <family val="2"/>
          </rPr>
          <t>Carly McCready:</t>
        </r>
        <r>
          <rPr>
            <sz val="9"/>
            <color indexed="81"/>
            <rFont val="Tahoma"/>
            <family val="2"/>
          </rPr>
          <t xml:space="preserve">
$130 moved from GO to Photocopying. Approved at EB 09/24</t>
        </r>
      </text>
    </comment>
    <comment ref="C14" authorId="6" shapeId="0" xr:uid="{00000000-0006-0000-0F00-000009000000}">
      <text>
        <r>
          <rPr>
            <b/>
            <sz val="8"/>
            <color indexed="81"/>
            <rFont val="Tahoma"/>
            <family val="2"/>
          </rPr>
          <t>s4cook:</t>
        </r>
        <r>
          <rPr>
            <sz val="8"/>
            <color indexed="81"/>
            <rFont val="Tahoma"/>
            <family val="2"/>
          </rPr>
          <t xml:space="preserve">
- fan
- office supplies
</t>
        </r>
      </text>
    </comment>
    <comment ref="I14" authorId="3" shapeId="0" xr:uid="{00000000-0006-0000-0F00-00000A000000}">
      <text>
        <r>
          <rPr>
            <b/>
            <sz val="8"/>
            <color indexed="81"/>
            <rFont val="Tahoma"/>
            <family val="2"/>
          </rPr>
          <t>Brendan Lowther:</t>
        </r>
        <r>
          <rPr>
            <sz val="8"/>
            <color indexed="81"/>
            <rFont val="Tahoma"/>
            <family val="2"/>
          </rPr>
          <t xml:space="preserve">
slight increase to reflect growing needs</t>
        </r>
      </text>
    </comment>
    <comment ref="U14" authorId="7" shapeId="0" xr:uid="{00000000-0006-0000-0F00-00000B000000}">
      <text>
        <r>
          <rPr>
            <b/>
            <sz val="9"/>
            <color indexed="81"/>
            <rFont val="Tahoma"/>
            <family val="2"/>
          </rPr>
          <t>Windows User:</t>
        </r>
        <r>
          <rPr>
            <sz val="9"/>
            <color indexed="81"/>
            <rFont val="Tahoma"/>
            <family val="2"/>
          </rPr>
          <t xml:space="preserve">
Increase in budget for Radio License Renewal Fee </t>
        </r>
      </text>
    </comment>
    <comment ref="B15" authorId="0" shapeId="0" xr:uid="{00000000-0006-0000-0F00-00000C000000}">
      <text>
        <r>
          <rPr>
            <b/>
            <sz val="9"/>
            <color indexed="81"/>
            <rFont val="Tahoma"/>
            <family val="2"/>
          </rPr>
          <t>DeL:</t>
        </r>
        <r>
          <rPr>
            <sz val="9"/>
            <color indexed="81"/>
            <rFont val="Tahoma"/>
            <family val="2"/>
          </rPr>
          <t xml:space="preserve">
new line</t>
        </r>
      </text>
    </comment>
    <comment ref="C15" authorId="1" shapeId="0" xr:uid="{00000000-0006-0000-0F00-00000D000000}">
      <text>
        <r>
          <rPr>
            <b/>
            <sz val="8"/>
            <color indexed="81"/>
            <rFont val="Tahoma"/>
            <family val="2"/>
          </rPr>
          <t>nbest:</t>
        </r>
        <r>
          <rPr>
            <sz val="8"/>
            <color indexed="81"/>
            <rFont val="Tahoma"/>
            <family val="2"/>
          </rPr>
          <t xml:space="preserve">
For late night safe transportation home for volunteers after buses no longer run from CRT convered events</t>
        </r>
      </text>
    </comment>
    <comment ref="G15" authorId="2" shapeId="0" xr:uid="{00000000-0006-0000-0F00-00000E000000}">
      <text>
        <r>
          <rPr>
            <b/>
            <sz val="8"/>
            <color indexed="81"/>
            <rFont val="Tahoma"/>
            <family val="2"/>
          </rPr>
          <t>Kumar Patel:</t>
        </r>
        <r>
          <rPr>
            <sz val="8"/>
            <color indexed="81"/>
            <rFont val="Tahoma"/>
            <family val="2"/>
          </rPr>
          <t xml:space="preserve">
Increased to accommodate overspending and a foreseeable increase in night coverage</t>
        </r>
      </text>
    </comment>
    <comment ref="I15" authorId="3" shapeId="0" xr:uid="{00000000-0006-0000-0F00-00000F000000}">
      <text>
        <r>
          <rPr>
            <b/>
            <sz val="8"/>
            <color indexed="81"/>
            <rFont val="Tahoma"/>
            <family val="2"/>
          </rPr>
          <t>Brendan Lowther:</t>
        </r>
        <r>
          <rPr>
            <sz val="8"/>
            <color indexed="81"/>
            <rFont val="Tahoma"/>
            <family val="2"/>
          </rPr>
          <t xml:space="preserve">
increase as shifts increase
</t>
        </r>
      </text>
    </comment>
    <comment ref="R15" authorId="4" shapeId="0" xr:uid="{00000000-0006-0000-0F00-000010000000}">
      <text>
        <r>
          <rPr>
            <b/>
            <sz val="9"/>
            <color indexed="81"/>
            <rFont val="Tahoma"/>
            <family val="2"/>
          </rPr>
          <t>Kurt MacMillan:</t>
        </r>
        <r>
          <rPr>
            <sz val="9"/>
            <color indexed="81"/>
            <rFont val="Tahoma"/>
            <family val="2"/>
          </rPr>
          <t xml:space="preserve">
Over budget as CRT did not account for MIXER </t>
        </r>
      </text>
    </comment>
    <comment ref="G16" authorId="2" shapeId="0" xr:uid="{00000000-0006-0000-0F00-000011000000}">
      <text>
        <r>
          <rPr>
            <b/>
            <sz val="8"/>
            <color indexed="81"/>
            <rFont val="Tahoma"/>
            <family val="2"/>
          </rPr>
          <t>Kumar Patel:</t>
        </r>
        <r>
          <rPr>
            <sz val="8"/>
            <color indexed="81"/>
            <rFont val="Tahoma"/>
            <family val="2"/>
          </rPr>
          <t xml:space="preserve">
Small increase to allwo for more consistent offerings at team meetings</t>
        </r>
      </text>
    </comment>
    <comment ref="I16" authorId="3" shapeId="0" xr:uid="{00000000-0006-0000-0F00-000012000000}">
      <text>
        <r>
          <rPr>
            <b/>
            <sz val="8"/>
            <color indexed="81"/>
            <rFont val="Tahoma"/>
            <family val="2"/>
          </rPr>
          <t>Brendan Lowther:</t>
        </r>
        <r>
          <rPr>
            <sz val="8"/>
            <color indexed="81"/>
            <rFont val="Tahoma"/>
            <family val="2"/>
          </rPr>
          <t xml:space="preserve">
increase to relieve reliance on donations
</t>
        </r>
      </text>
    </comment>
    <comment ref="B17" authorId="0" shapeId="0" xr:uid="{00000000-0006-0000-0F00-000013000000}">
      <text>
        <r>
          <rPr>
            <b/>
            <sz val="9"/>
            <color indexed="81"/>
            <rFont val="Tahoma"/>
            <family val="2"/>
          </rPr>
          <t>DeL:</t>
        </r>
        <r>
          <rPr>
            <sz val="9"/>
            <color indexed="81"/>
            <rFont val="Tahoma"/>
            <family val="2"/>
          </rPr>
          <t xml:space="preserve">
new line</t>
        </r>
      </text>
    </comment>
    <comment ref="G17" authorId="2" shapeId="0" xr:uid="{00000000-0006-0000-0F00-000014000000}">
      <text>
        <r>
          <rPr>
            <b/>
            <sz val="8"/>
            <color indexed="81"/>
            <rFont val="Tahoma"/>
            <family val="2"/>
          </rPr>
          <t>Kumar Patel:</t>
        </r>
        <r>
          <rPr>
            <sz val="8"/>
            <color indexed="81"/>
            <rFont val="Tahoma"/>
            <family val="2"/>
          </rPr>
          <t xml:space="preserve">
Increase due to past overspending, and to allow CRT members to attend one ACERT event</t>
        </r>
      </text>
    </comment>
    <comment ref="I17" authorId="3" shapeId="0" xr:uid="{00000000-0006-0000-0F00-000015000000}">
      <text>
        <r>
          <rPr>
            <b/>
            <sz val="8"/>
            <color indexed="81"/>
            <rFont val="Tahoma"/>
            <family val="2"/>
          </rPr>
          <t>Brendan Lowther:</t>
        </r>
        <r>
          <rPr>
            <sz val="8"/>
            <color indexed="81"/>
            <rFont val="Tahoma"/>
            <family val="2"/>
          </rPr>
          <t xml:space="preserve">
Conference travel and fees increase. Membership fee for ACERT for 5 years</t>
        </r>
      </text>
    </comment>
    <comment ref="M17" authorId="8" shapeId="0" xr:uid="{00000000-0006-0000-0F00-000016000000}">
      <text>
        <r>
          <rPr>
            <b/>
            <sz val="9"/>
            <color indexed="81"/>
            <rFont val="Tahoma"/>
            <family val="2"/>
          </rPr>
          <t>Maaz Yasin:</t>
        </r>
        <r>
          <rPr>
            <sz val="9"/>
            <color indexed="81"/>
            <rFont val="Tahoma"/>
            <family val="2"/>
          </rPr>
          <t xml:space="preserve">
CRT can apply for additional funding from EOI if needed</t>
        </r>
      </text>
    </comment>
    <comment ref="R17" authorId="4" shapeId="0" xr:uid="{00000000-0006-0000-0F00-000017000000}">
      <text>
        <r>
          <rPr>
            <b/>
            <sz val="9"/>
            <color indexed="81"/>
            <rFont val="Tahoma"/>
            <family val="2"/>
          </rPr>
          <t>Kurt MacMillan:</t>
        </r>
        <r>
          <rPr>
            <sz val="9"/>
            <color indexed="81"/>
            <rFont val="Tahoma"/>
            <family val="2"/>
          </rPr>
          <t xml:space="preserve">
Didn't account for MIXER and NCCER 
10 people x $110.00
NCCER – 15 people x $120.00
Grand Total = $2,900
</t>
        </r>
      </text>
    </comment>
    <comment ref="C19" authorId="6" shapeId="0" xr:uid="{00000000-0006-0000-0F00-000018000000}">
      <text>
        <r>
          <rPr>
            <b/>
            <sz val="8"/>
            <color indexed="81"/>
            <rFont val="Tahoma"/>
            <family val="2"/>
          </rPr>
          <t>s4cook:</t>
        </r>
        <r>
          <rPr>
            <sz val="8"/>
            <color indexed="81"/>
            <rFont val="Tahoma"/>
            <family val="2"/>
          </rPr>
          <t xml:space="preserve">
1.5xlast year's budget</t>
        </r>
      </text>
    </comment>
    <comment ref="G19" authorId="2" shapeId="0" xr:uid="{00000000-0006-0000-0F00-000019000000}">
      <text>
        <r>
          <rPr>
            <b/>
            <sz val="8"/>
            <color indexed="81"/>
            <rFont val="Tahoma"/>
            <family val="2"/>
          </rPr>
          <t>Kumar Patel:</t>
        </r>
        <r>
          <rPr>
            <sz val="8"/>
            <color indexed="81"/>
            <rFont val="Tahoma"/>
            <family val="2"/>
          </rPr>
          <t xml:space="preserve">
Services advertising lines are being transferred t be reflected in marketing account</t>
        </r>
      </text>
    </comment>
    <comment ref="G21" authorId="2" shapeId="0" xr:uid="{00000000-0006-0000-0F00-00001A000000}">
      <text>
        <r>
          <rPr>
            <b/>
            <sz val="8"/>
            <color indexed="81"/>
            <rFont val="Tahoma"/>
            <family val="2"/>
          </rPr>
          <t>Kumar Patel:</t>
        </r>
        <r>
          <rPr>
            <sz val="8"/>
            <color indexed="81"/>
            <rFont val="Tahoma"/>
            <family val="2"/>
          </rPr>
          <t xml:space="preserve">
Increased to allow for the purchase of 7 digital radios (please see digital radio proposal) 3year ammortization. 7 additional radios to be paid for through SLEF</t>
        </r>
      </text>
    </comment>
    <comment ref="C22" authorId="6" shapeId="0" xr:uid="{00000000-0006-0000-0F00-00001B000000}">
      <text>
        <r>
          <rPr>
            <b/>
            <sz val="8"/>
            <color indexed="81"/>
            <rFont val="Tahoma"/>
            <family val="2"/>
          </rPr>
          <t>s4cook:</t>
        </r>
        <r>
          <rPr>
            <sz val="8"/>
            <color indexed="81"/>
            <rFont val="Tahoma"/>
            <family val="2"/>
          </rPr>
          <t xml:space="preserve">
- hosting cassim</t>
        </r>
      </text>
    </comment>
    <comment ref="I22" authorId="3" shapeId="0" xr:uid="{00000000-0006-0000-0F00-00001C000000}">
      <text>
        <r>
          <rPr>
            <b/>
            <sz val="8"/>
            <color indexed="81"/>
            <rFont val="Tahoma"/>
            <family val="2"/>
          </rPr>
          <t>Brendan Lowther:</t>
        </r>
        <r>
          <rPr>
            <sz val="8"/>
            <color indexed="81"/>
            <rFont val="Tahoma"/>
            <family val="2"/>
          </rPr>
          <t xml:space="preserve">
increase due to Hosting Tri_U Conference and 15th Anniversary</t>
        </r>
      </text>
    </comment>
    <comment ref="U22" authorId="7" shapeId="0" xr:uid="{00000000-0006-0000-0F00-00001D000000}">
      <text>
        <r>
          <rPr>
            <b/>
            <sz val="9"/>
            <color indexed="81"/>
            <rFont val="Tahoma"/>
            <charset val="1"/>
          </rPr>
          <t>Windows User:</t>
        </r>
        <r>
          <rPr>
            <sz val="9"/>
            <color indexed="81"/>
            <rFont val="Tahoma"/>
            <charset val="1"/>
          </rPr>
          <t xml:space="preserve">
Reallocated $600 to general office for fees associated with radio. Subsequently cut by $100</t>
        </r>
      </text>
    </comment>
    <comment ref="G23" authorId="2" shapeId="0" xr:uid="{00000000-0006-0000-0F00-00001E000000}">
      <text>
        <r>
          <rPr>
            <b/>
            <sz val="8"/>
            <color indexed="81"/>
            <rFont val="Tahoma"/>
            <family val="2"/>
          </rPr>
          <t>Kumar Patel:</t>
        </r>
        <r>
          <rPr>
            <sz val="8"/>
            <color indexed="81"/>
            <rFont val="Tahoma"/>
            <family val="2"/>
          </rPr>
          <t xml:space="preserve">
MFR reinbursements eliminated</t>
        </r>
      </text>
    </comment>
    <comment ref="I23" authorId="3" shapeId="0" xr:uid="{00000000-0006-0000-0F00-00001F000000}">
      <text>
        <r>
          <rPr>
            <b/>
            <sz val="8"/>
            <color indexed="81"/>
            <rFont val="Tahoma"/>
            <family val="2"/>
          </rPr>
          <t>Brendan Lowther:</t>
        </r>
        <r>
          <rPr>
            <sz val="8"/>
            <color indexed="81"/>
            <rFont val="Tahoma"/>
            <family val="2"/>
          </rPr>
          <t xml:space="preserve">
Request that cost covered for members to take AMFR course. This certification is a step in the direction of providing higher standard of care and UW is the only ACERT member that does not have members with AMFR training</t>
        </r>
      </text>
    </comment>
    <comment ref="S23" authorId="4" shapeId="0" xr:uid="{00000000-0006-0000-0F00-000020000000}">
      <text>
        <r>
          <rPr>
            <b/>
            <sz val="9"/>
            <color indexed="81"/>
            <rFont val="Tahoma"/>
            <family val="2"/>
          </rPr>
          <t>Kurt MacMillan:</t>
        </r>
        <r>
          <rPr>
            <sz val="9"/>
            <color indexed="81"/>
            <rFont val="Tahoma"/>
            <family val="2"/>
          </rPr>
          <t xml:space="preserve">
CRT recruit 15 members a term. Average of 10 members are retained, they want to train them up to standards in First Responder and Applied Suicide Intervention Skills Training to provide the best service to the Waterloo community.
ASIST – 30 people x $160.00 = $4,800
FR – 30 people x $623.92 = $18,717.60
Grand Total – $23,517.60
Partial Reimbursement of (38%)</t>
        </r>
      </text>
    </comment>
    <comment ref="U23" authorId="7" shapeId="0" xr:uid="{00000000-0006-0000-0F00-000021000000}">
      <text>
        <r>
          <rPr>
            <b/>
            <sz val="9"/>
            <color indexed="81"/>
            <rFont val="Tahoma"/>
            <charset val="1"/>
          </rPr>
          <t>Windows User:</t>
        </r>
        <r>
          <rPr>
            <sz val="9"/>
            <color indexed="81"/>
            <rFont val="Tahoma"/>
            <charset val="1"/>
          </rPr>
          <t xml:space="preserve">
Increase for more volunteers who need to take FR course. Planning to have 10 members/term </t>
        </r>
      </text>
    </comment>
    <comment ref="G24" authorId="2" shapeId="0" xr:uid="{00000000-0006-0000-0F00-000022000000}">
      <text>
        <r>
          <rPr>
            <b/>
            <sz val="8"/>
            <color indexed="81"/>
            <rFont val="Tahoma"/>
            <family val="2"/>
          </rPr>
          <t>Kumar Patel:</t>
        </r>
        <r>
          <rPr>
            <sz val="8"/>
            <color indexed="81"/>
            <rFont val="Tahoma"/>
            <family val="2"/>
          </rPr>
          <t xml:space="preserve">
Increased due to us hosting and overspending in special projects</t>
        </r>
      </text>
    </comment>
    <comment ref="G25" authorId="2" shapeId="0" xr:uid="{00000000-0006-0000-0F00-000023000000}">
      <text>
        <r>
          <rPr>
            <b/>
            <sz val="8"/>
            <color indexed="81"/>
            <rFont val="Tahoma"/>
            <family val="2"/>
          </rPr>
          <t>Kumar Patel:</t>
        </r>
        <r>
          <rPr>
            <sz val="8"/>
            <color indexed="81"/>
            <rFont val="Tahoma"/>
            <family val="2"/>
          </rPr>
          <t xml:space="preserve">
Slight decrease as all packs were fully restored at the end of last fiscal year</t>
        </r>
      </text>
    </comment>
    <comment ref="I25" authorId="3" shapeId="0" xr:uid="{00000000-0006-0000-0F00-000024000000}">
      <text>
        <r>
          <rPr>
            <b/>
            <sz val="8"/>
            <color indexed="81"/>
            <rFont val="Tahoma"/>
            <family val="2"/>
          </rPr>
          <t>Brendan Lowther:</t>
        </r>
        <r>
          <rPr>
            <sz val="8"/>
            <color indexed="81"/>
            <rFont val="Tahoma"/>
            <family val="2"/>
          </rPr>
          <t xml:space="preserve">
reflect general increase in costs of equipment
</t>
        </r>
      </text>
    </comment>
    <comment ref="O26" authorId="5" shapeId="0" xr:uid="{00000000-0006-0000-0F00-000025000000}">
      <text>
        <r>
          <rPr>
            <b/>
            <sz val="9"/>
            <color indexed="81"/>
            <rFont val="Tahoma"/>
            <family val="2"/>
          </rPr>
          <t>Carly McCready:</t>
        </r>
        <r>
          <rPr>
            <sz val="9"/>
            <color indexed="81"/>
            <rFont val="Tahoma"/>
            <family val="2"/>
          </rPr>
          <t xml:space="preserve">
Police Reference Checks</t>
        </r>
      </text>
    </comment>
    <comment ref="I27" authorId="3" shapeId="0" xr:uid="{00000000-0006-0000-0F00-000026000000}">
      <text>
        <r>
          <rPr>
            <b/>
            <sz val="8"/>
            <color indexed="81"/>
            <rFont val="Tahoma"/>
            <family val="2"/>
          </rPr>
          <t xml:space="preserve">Brendan Lowther:
3 training weekends, x total of 130 people x $30/person (Sat/Sun breakfast and lunch)
</t>
        </r>
      </text>
    </comment>
    <comment ref="U27" authorId="7" shapeId="0" xr:uid="{00000000-0006-0000-0F00-000027000000}">
      <text>
        <r>
          <rPr>
            <b/>
            <sz val="9"/>
            <color indexed="81"/>
            <rFont val="Tahoma"/>
            <charset val="1"/>
          </rPr>
          <t>Windows User:</t>
        </r>
        <r>
          <rPr>
            <sz val="9"/>
            <color indexed="81"/>
            <rFont val="Tahoma"/>
            <charset val="1"/>
          </rPr>
          <t xml:space="preserve">
shortened schedule with FR training meaning less food provided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nbest</author>
    <author>Kurt MacMillan</author>
    <author>Windows User</author>
    <author>Kumar Patel</author>
    <author>Brendan Lowther</author>
  </authors>
  <commentList>
    <comment ref="C11" authorId="0" shapeId="0" xr:uid="{00000000-0006-0000-1000-000001000000}">
      <text>
        <r>
          <rPr>
            <b/>
            <sz val="8"/>
            <color indexed="81"/>
            <rFont val="Tahoma"/>
            <family val="2"/>
          </rPr>
          <t>nbest:</t>
        </r>
        <r>
          <rPr>
            <sz val="8"/>
            <color indexed="81"/>
            <rFont val="Tahoma"/>
            <family val="2"/>
          </rPr>
          <t xml:space="preserve">
Planning events for end of each term to thank the 60 volunteers around each term ($250.00 per term)</t>
        </r>
      </text>
    </comment>
    <comment ref="S11" authorId="1" shapeId="0" xr:uid="{00000000-0006-0000-1000-000002000000}">
      <text>
        <r>
          <rPr>
            <b/>
            <sz val="9"/>
            <color indexed="81"/>
            <rFont val="Tahoma"/>
            <family val="2"/>
          </rPr>
          <t>Kurt MacMillan:</t>
        </r>
        <r>
          <rPr>
            <sz val="9"/>
            <color indexed="81"/>
            <rFont val="Tahoma"/>
            <family val="2"/>
          </rPr>
          <t xml:space="preserve">
3 terms x $10/volunteer x 25 volunteers</t>
        </r>
      </text>
    </comment>
    <comment ref="T11" authorId="2" shapeId="0" xr:uid="{00000000-0006-0000-1000-000003000000}">
      <text>
        <r>
          <rPr>
            <b/>
            <sz val="9"/>
            <color indexed="81"/>
            <rFont val="Tahoma"/>
            <charset val="1"/>
          </rPr>
          <t>Windows User:</t>
        </r>
        <r>
          <rPr>
            <sz val="9"/>
            <color indexed="81"/>
            <rFont val="Tahoma"/>
            <charset val="1"/>
          </rPr>
          <t xml:space="preserve">
3 terms x $10/vol x 15 vol + $30/exec x 7 exec</t>
        </r>
      </text>
    </comment>
    <comment ref="G14" authorId="3" shapeId="0" xr:uid="{00000000-0006-0000-1000-000004000000}">
      <text>
        <r>
          <rPr>
            <b/>
            <sz val="8"/>
            <color indexed="81"/>
            <rFont val="Tahoma"/>
            <family val="2"/>
          </rPr>
          <t>Kumar Patel:</t>
        </r>
        <r>
          <rPr>
            <sz val="8"/>
            <color indexed="81"/>
            <rFont val="Tahoma"/>
            <family val="2"/>
          </rPr>
          <t xml:space="preserve">
Increased to allow for te purchase of can organization units and specialized shelving</t>
        </r>
      </text>
    </comment>
    <comment ref="G15" authorId="3" shapeId="0" xr:uid="{00000000-0006-0000-1000-000005000000}">
      <text>
        <r>
          <rPr>
            <b/>
            <sz val="8"/>
            <color indexed="81"/>
            <rFont val="Tahoma"/>
            <family val="2"/>
          </rPr>
          <t>Kumar Patel:</t>
        </r>
        <r>
          <rPr>
            <sz val="8"/>
            <color indexed="81"/>
            <rFont val="Tahoma"/>
            <family val="2"/>
          </rPr>
          <t xml:space="preserve">
Increased to allow 2 vehicle rentals to acquire food from the regional food bank</t>
        </r>
      </text>
    </comment>
    <comment ref="I15" authorId="4" shapeId="0" xr:uid="{00000000-0006-0000-1000-000006000000}">
      <text>
        <r>
          <rPr>
            <b/>
            <sz val="8"/>
            <color indexed="81"/>
            <rFont val="Tahoma"/>
            <family val="2"/>
          </rPr>
          <t>Brendan Lowther:</t>
        </r>
        <r>
          <rPr>
            <sz val="8"/>
            <color indexed="81"/>
            <rFont val="Tahoma"/>
            <family val="2"/>
          </rPr>
          <t xml:space="preserve">
Needs to be upped due to increase in trips and coords have no access to personal vehicle.</t>
        </r>
      </text>
    </comment>
    <comment ref="S15" authorId="1" shapeId="0" xr:uid="{00000000-0006-0000-1000-000007000000}">
      <text>
        <r>
          <rPr>
            <b/>
            <sz val="9"/>
            <color indexed="81"/>
            <rFont val="Tahoma"/>
            <family val="2"/>
          </rPr>
          <t>Kurt MacMillan:</t>
        </r>
        <r>
          <rPr>
            <sz val="9"/>
            <color indexed="81"/>
            <rFont val="Tahoma"/>
            <family val="2"/>
          </rPr>
          <t xml:space="preserve">
Allows rental of vehicles for food pickup</t>
        </r>
      </text>
    </comment>
    <comment ref="G16" authorId="3" shapeId="0" xr:uid="{00000000-0006-0000-1000-000008000000}">
      <text>
        <r>
          <rPr>
            <b/>
            <sz val="8"/>
            <color indexed="81"/>
            <rFont val="Tahoma"/>
            <family val="2"/>
          </rPr>
          <t>Kumar Patel:</t>
        </r>
        <r>
          <rPr>
            <sz val="8"/>
            <color indexed="81"/>
            <rFont val="Tahoma"/>
            <family val="2"/>
          </rPr>
          <t xml:space="preserve">
Decreased due to underspending</t>
        </r>
      </text>
    </comment>
    <comment ref="G18" authorId="3" shapeId="0" xr:uid="{00000000-0006-0000-1000-000009000000}">
      <text>
        <r>
          <rPr>
            <b/>
            <sz val="8"/>
            <color indexed="81"/>
            <rFont val="Tahoma"/>
            <family val="2"/>
          </rPr>
          <t>Kumar Patel:</t>
        </r>
        <r>
          <rPr>
            <sz val="8"/>
            <color indexed="81"/>
            <rFont val="Tahoma"/>
            <family val="2"/>
          </rPr>
          <t xml:space="preserve">
Never been charged</t>
        </r>
      </text>
    </comment>
    <comment ref="T18" authorId="2" shapeId="0" xr:uid="{00000000-0006-0000-1000-00000A000000}">
      <text>
        <r>
          <rPr>
            <b/>
            <sz val="9"/>
            <color indexed="81"/>
            <rFont val="Tahoma"/>
            <charset val="1"/>
          </rPr>
          <t>Windows User:</t>
        </r>
        <r>
          <rPr>
            <sz val="9"/>
            <color indexed="81"/>
            <rFont val="Tahoma"/>
            <charset val="1"/>
          </rPr>
          <t xml:space="preserve">
Food Bank WR reduced their membership fee</t>
        </r>
      </text>
    </comment>
    <comment ref="C20" authorId="0" shapeId="0" xr:uid="{00000000-0006-0000-1000-00000B000000}">
      <text>
        <r>
          <rPr>
            <b/>
            <sz val="8"/>
            <color indexed="81"/>
            <rFont val="Tahoma"/>
            <family val="2"/>
          </rPr>
          <t>nbest:</t>
        </r>
        <r>
          <rPr>
            <sz val="8"/>
            <color indexed="81"/>
            <rFont val="Tahoma"/>
            <family val="2"/>
          </rPr>
          <t xml:space="preserve">
Things like free cotton candy, popcorn to raise awareness of the food bank; possibly a recipe contest for KD</t>
        </r>
      </text>
    </comment>
    <comment ref="S20" authorId="1" shapeId="0" xr:uid="{00000000-0006-0000-1000-00000C000000}">
      <text>
        <r>
          <rPr>
            <b/>
            <sz val="9"/>
            <color indexed="81"/>
            <rFont val="Tahoma"/>
            <family val="2"/>
          </rPr>
          <t>Kurt MacMillan:</t>
        </r>
        <r>
          <rPr>
            <sz val="9"/>
            <color indexed="81"/>
            <rFont val="Tahoma"/>
            <family val="2"/>
          </rPr>
          <t xml:space="preserve">
Canstruction, cooking classes etc
</t>
        </r>
      </text>
    </comment>
    <comment ref="G21" authorId="3" shapeId="0" xr:uid="{00000000-0006-0000-1000-00000D000000}">
      <text>
        <r>
          <rPr>
            <b/>
            <sz val="8"/>
            <color indexed="81"/>
            <rFont val="Tahoma"/>
            <family val="2"/>
          </rPr>
          <t>Kumar Patel:</t>
        </r>
        <r>
          <rPr>
            <sz val="8"/>
            <color indexed="81"/>
            <rFont val="Tahoma"/>
            <family val="2"/>
          </rPr>
          <t xml:space="preserve">
Decreased, will find efficiencies within budget</t>
        </r>
      </text>
    </comment>
    <comment ref="I21" authorId="4" shapeId="0" xr:uid="{00000000-0006-0000-1000-00000E000000}">
      <text>
        <r>
          <rPr>
            <b/>
            <sz val="8"/>
            <color indexed="81"/>
            <rFont val="Tahoma"/>
            <family val="2"/>
          </rPr>
          <t>Brendan Lowther:</t>
        </r>
        <r>
          <rPr>
            <sz val="8"/>
            <color indexed="81"/>
            <rFont val="Tahoma"/>
            <family val="2"/>
          </rPr>
          <t xml:space="preserve">
Increase based on extra vols required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Kurt MacMillan</author>
    <author>Kumar Patel</author>
    <author>Brendan Lowther</author>
    <author>Carly McCready</author>
    <author>David Collins</author>
    <author>nbest</author>
    <author>Windows User</author>
  </authors>
  <commentList>
    <comment ref="S6" authorId="0" shapeId="0" xr:uid="{00000000-0006-0000-1100-000001000000}">
      <text>
        <r>
          <rPr>
            <b/>
            <sz val="9"/>
            <color indexed="81"/>
            <rFont val="Tahoma"/>
            <family val="2"/>
          </rPr>
          <t>Kurt MacMillan:</t>
        </r>
        <r>
          <rPr>
            <sz val="9"/>
            <color indexed="81"/>
            <rFont val="Tahoma"/>
            <family val="2"/>
          </rPr>
          <t xml:space="preserve">
From Bus Sales to TO Parade</t>
        </r>
      </text>
    </comment>
    <comment ref="G11" authorId="1" shapeId="0" xr:uid="{00000000-0006-0000-1100-000002000000}">
      <text>
        <r>
          <rPr>
            <b/>
            <sz val="8"/>
            <color indexed="81"/>
            <rFont val="Tahoma"/>
            <family val="2"/>
          </rPr>
          <t>Kumar Patel:</t>
        </r>
        <r>
          <rPr>
            <sz val="8"/>
            <color indexed="81"/>
            <rFont val="Tahoma"/>
            <family val="2"/>
          </rPr>
          <t xml:space="preserve">
Decreased to match volunteer appreciation matrix of other services</t>
        </r>
      </text>
    </comment>
    <comment ref="I11" authorId="2" shapeId="0" xr:uid="{00000000-0006-0000-1100-000003000000}">
      <text>
        <r>
          <rPr>
            <b/>
            <sz val="8"/>
            <color indexed="81"/>
            <rFont val="Tahoma"/>
            <family val="2"/>
          </rPr>
          <t>Brendan Lowther:</t>
        </r>
        <r>
          <rPr>
            <sz val="8"/>
            <color indexed="81"/>
            <rFont val="Tahoma"/>
            <family val="2"/>
          </rPr>
          <t xml:space="preserve">
7 execs @ $30/term + Coord and Manager Meals @30/term + 25 vols/term @$10/term</t>
        </r>
      </text>
    </comment>
    <comment ref="O11" authorId="3" shapeId="0" xr:uid="{00000000-0006-0000-1100-000004000000}">
      <text>
        <r>
          <rPr>
            <b/>
            <sz val="9"/>
            <color indexed="81"/>
            <rFont val="Tahoma"/>
            <family val="2"/>
          </rPr>
          <t>Carly McCready:</t>
        </r>
        <r>
          <rPr>
            <sz val="9"/>
            <color indexed="81"/>
            <rFont val="Tahoma"/>
            <family val="2"/>
          </rPr>
          <t xml:space="preserve">
Why the jump of &gt;$1000</t>
        </r>
      </text>
    </comment>
    <comment ref="S11" authorId="0" shapeId="0" xr:uid="{00000000-0006-0000-1100-000005000000}">
      <text>
        <r>
          <rPr>
            <b/>
            <sz val="9"/>
            <color indexed="81"/>
            <rFont val="Tahoma"/>
            <family val="2"/>
          </rPr>
          <t>Kurt MacMillan:</t>
        </r>
        <r>
          <rPr>
            <sz val="9"/>
            <color indexed="81"/>
            <rFont val="Tahoma"/>
            <family val="2"/>
          </rPr>
          <t xml:space="preserve">
Spring term: ~20 peer support volunteers at $20, ~15 standard volunteers at $10, 7 executives at $30
 20 x 20 = 400
 15 x 10 = 150
  7 x 30  = 210
   = 760
Fall term: ~25 peer support volunteers at $20, ~25 standard volunteers at $10, 7 executives at $30
 25 x 20 = 500
 25 x 10 = 250
  7 x 30   = 210
              = 960
Winter term: Fall term: ~25 peer support volunteers at $20, ~25 standard volunteers at $10, 7 executives at $30
 25 x 20 = 500
 25 x 10 = 250
  7 x 30  = 210
              = 960
</t>
        </r>
      </text>
    </comment>
    <comment ref="G12" authorId="1" shapeId="0" xr:uid="{00000000-0006-0000-1100-000006000000}">
      <text>
        <r>
          <rPr>
            <b/>
            <sz val="8"/>
            <color indexed="81"/>
            <rFont val="Tahoma"/>
            <family val="2"/>
          </rPr>
          <t>Kumar Patel:</t>
        </r>
        <r>
          <rPr>
            <sz val="8"/>
            <color indexed="81"/>
            <rFont val="Tahoma"/>
            <family val="2"/>
          </rPr>
          <t xml:space="preserve">
Decreased to reflect the removal of Perr Support Phone Line</t>
        </r>
      </text>
    </comment>
    <comment ref="G14" authorId="1" shapeId="0" xr:uid="{00000000-0006-0000-1100-000007000000}">
      <text>
        <r>
          <rPr>
            <b/>
            <sz val="8"/>
            <color indexed="81"/>
            <rFont val="Tahoma"/>
            <family val="2"/>
          </rPr>
          <t>Kumar Patel:</t>
        </r>
        <r>
          <rPr>
            <sz val="8"/>
            <color indexed="81"/>
            <rFont val="Tahoma"/>
            <family val="2"/>
          </rPr>
          <t xml:space="preserve">
Purchase female condoms and dental dams. Sameas Women's Centre is doing. $200 each</t>
        </r>
      </text>
    </comment>
    <comment ref="I15" authorId="4" shapeId="0" xr:uid="{00000000-0006-0000-1100-000008000000}">
      <text>
        <r>
          <rPr>
            <b/>
            <sz val="8"/>
            <color indexed="81"/>
            <rFont val="Tahoma"/>
            <family val="2"/>
          </rPr>
          <t>David Collins:</t>
        </r>
        <r>
          <rPr>
            <sz val="8"/>
            <color indexed="81"/>
            <rFont val="Tahoma"/>
            <family val="2"/>
          </rPr>
          <t xml:space="preserve">
-6 speakers x $10 gift
-Meal for 9 execs 3 times per year
</t>
        </r>
      </text>
    </comment>
    <comment ref="C16" authorId="5" shapeId="0" xr:uid="{00000000-0006-0000-1100-000009000000}">
      <text>
        <r>
          <rPr>
            <b/>
            <sz val="8"/>
            <color indexed="81"/>
            <rFont val="Tahoma"/>
            <family val="2"/>
          </rPr>
          <t>nbest:</t>
        </r>
        <r>
          <rPr>
            <sz val="8"/>
            <color indexed="81"/>
            <rFont val="Tahoma"/>
            <family val="2"/>
          </rPr>
          <t xml:space="preserve">
IFC had to fund last year because it wasn't budgeted before. Now included in budget.</t>
        </r>
      </text>
    </comment>
    <comment ref="I16" authorId="4" shapeId="0" xr:uid="{00000000-0006-0000-1100-00000A000000}">
      <text>
        <r>
          <rPr>
            <b/>
            <sz val="8"/>
            <color indexed="81"/>
            <rFont val="Tahoma"/>
            <family val="2"/>
          </rPr>
          <t>David Collins:</t>
        </r>
        <r>
          <rPr>
            <sz val="8"/>
            <color indexed="81"/>
            <rFont val="Tahoma"/>
            <family val="2"/>
          </rPr>
          <t xml:space="preserve">
CUQS conference. Happens first week of May</t>
        </r>
      </text>
    </comment>
    <comment ref="G17" authorId="1" shapeId="0" xr:uid="{00000000-0006-0000-1100-00000B000000}">
      <text>
        <r>
          <rPr>
            <b/>
            <sz val="8"/>
            <color indexed="81"/>
            <rFont val="Tahoma"/>
            <family val="2"/>
          </rPr>
          <t>Kumar Patel:</t>
        </r>
        <r>
          <rPr>
            <sz val="8"/>
            <color indexed="81"/>
            <rFont val="Tahoma"/>
            <family val="2"/>
          </rPr>
          <t xml:space="preserve">
Increased to allow for thepurchase of more Trans* magazine resources</t>
        </r>
      </text>
    </comment>
    <comment ref="C19" authorId="5" shapeId="0" xr:uid="{00000000-0006-0000-1100-00000C000000}">
      <text>
        <r>
          <rPr>
            <b/>
            <sz val="8"/>
            <color indexed="81"/>
            <rFont val="Tahoma"/>
            <family val="2"/>
          </rPr>
          <t>nbest:</t>
        </r>
        <r>
          <rPr>
            <sz val="8"/>
            <color indexed="81"/>
            <rFont val="Tahoma"/>
            <family val="2"/>
          </rPr>
          <t xml:space="preserve">
40th anniversary celebration is this year, love doesn't doscriminate posters as example, and BBGG night, and other interest things</t>
        </r>
      </text>
    </comment>
    <comment ref="G19" authorId="1" shapeId="0" xr:uid="{00000000-0006-0000-1100-00000D000000}">
      <text>
        <r>
          <rPr>
            <b/>
            <sz val="8"/>
            <color indexed="81"/>
            <rFont val="Tahoma"/>
            <family val="2"/>
          </rPr>
          <t>Kumar Patel:</t>
        </r>
        <r>
          <rPr>
            <sz val="8"/>
            <color indexed="81"/>
            <rFont val="Tahoma"/>
            <family val="2"/>
          </rPr>
          <t xml:space="preserve">
Decreased due to underspending in previous terms</t>
        </r>
      </text>
    </comment>
    <comment ref="I19" authorId="2" shapeId="0" xr:uid="{00000000-0006-0000-1100-00000E000000}">
      <text>
        <r>
          <rPr>
            <b/>
            <sz val="8"/>
            <color indexed="81"/>
            <rFont val="Tahoma"/>
            <family val="2"/>
          </rPr>
          <t>Brendan Lowther:
Special projects line reduced due to underspending</t>
        </r>
      </text>
    </comment>
    <comment ref="T19" authorId="6" shapeId="0" xr:uid="{00000000-0006-0000-1100-00000F000000}">
      <text>
        <r>
          <rPr>
            <b/>
            <sz val="9"/>
            <color indexed="81"/>
            <rFont val="Tahoma"/>
            <charset val="1"/>
          </rPr>
          <t>Windows User:</t>
        </r>
        <r>
          <rPr>
            <sz val="9"/>
            <color indexed="81"/>
            <rFont val="Tahoma"/>
            <charset val="1"/>
          </rPr>
          <t xml:space="preserve">
Supporting professional drag performers attending "drag me to" events</t>
        </r>
      </text>
    </comment>
    <comment ref="C22" authorId="5" shapeId="0" xr:uid="{00000000-0006-0000-1100-000010000000}">
      <text>
        <r>
          <rPr>
            <b/>
            <sz val="8"/>
            <color indexed="81"/>
            <rFont val="Tahoma"/>
            <family val="2"/>
          </rPr>
          <t>nbest:</t>
        </r>
        <r>
          <rPr>
            <sz val="8"/>
            <color indexed="81"/>
            <rFont val="Tahoma"/>
            <family val="2"/>
          </rPr>
          <t xml:space="preserve">
Bus trip to TO, 500/per bus, $5.00/ticket = $530.00, plus marching fee, bottled water for bus, and a few prizes
</t>
        </r>
      </text>
    </comment>
    <comment ref="I22" authorId="2" shapeId="0" xr:uid="{00000000-0006-0000-1100-000011000000}">
      <text>
        <r>
          <rPr>
            <b/>
            <sz val="8"/>
            <color indexed="81"/>
            <rFont val="Tahoma"/>
            <family val="2"/>
          </rPr>
          <t>Brendan Lowther:</t>
        </r>
        <r>
          <rPr>
            <sz val="8"/>
            <color indexed="81"/>
            <rFont val="Tahoma"/>
            <family val="2"/>
          </rPr>
          <t xml:space="preserve">
general increase in costs
</t>
        </r>
      </text>
    </comment>
    <comment ref="S22" authorId="0" shapeId="0" xr:uid="{00000000-0006-0000-1100-000012000000}">
      <text>
        <r>
          <rPr>
            <b/>
            <sz val="9"/>
            <color indexed="81"/>
            <rFont val="Tahoma"/>
            <family val="2"/>
          </rPr>
          <t>Kurt MacMillan:</t>
        </r>
        <r>
          <rPr>
            <sz val="9"/>
            <color indexed="81"/>
            <rFont val="Tahoma"/>
            <family val="2"/>
          </rPr>
          <t xml:space="preserve">
Includes bus down, truck and speaker rentals &amp; cost of being in parade </t>
        </r>
      </text>
    </comment>
    <comment ref="G23" authorId="1" shapeId="0" xr:uid="{00000000-0006-0000-1100-000013000000}">
      <text>
        <r>
          <rPr>
            <b/>
            <sz val="8"/>
            <color indexed="81"/>
            <rFont val="Tahoma"/>
            <family val="2"/>
          </rPr>
          <t>Kumar Patel:</t>
        </r>
        <r>
          <rPr>
            <sz val="8"/>
            <color indexed="81"/>
            <rFont val="Tahoma"/>
            <family val="2"/>
          </rPr>
          <t xml:space="preserve">
Decreased as library is established, funds will only be utilized to purchase new topics and replace old titles</t>
        </r>
      </text>
    </comment>
    <comment ref="I23" authorId="2" shapeId="0" xr:uid="{00000000-0006-0000-1100-000014000000}">
      <text>
        <r>
          <rPr>
            <b/>
            <sz val="8"/>
            <color indexed="81"/>
            <rFont val="Tahoma"/>
            <family val="2"/>
          </rPr>
          <t>Brendan Lowther:</t>
        </r>
        <r>
          <rPr>
            <sz val="8"/>
            <color indexed="81"/>
            <rFont val="Tahoma"/>
            <family val="2"/>
          </rPr>
          <t xml:space="preserve">
reduction as library is in good shape</t>
        </r>
      </text>
    </comment>
    <comment ref="C24" authorId="5" shapeId="0" xr:uid="{00000000-0006-0000-1100-000015000000}">
      <text>
        <r>
          <rPr>
            <b/>
            <sz val="8"/>
            <color indexed="81"/>
            <rFont val="Tahoma"/>
            <family val="2"/>
          </rPr>
          <t>nbest:</t>
        </r>
        <r>
          <rPr>
            <sz val="8"/>
            <color indexed="81"/>
            <rFont val="Tahoma"/>
            <family val="2"/>
          </rPr>
          <t xml:space="preserve">
coming out week, sapphic mondays, Tuesday movies, </t>
        </r>
      </text>
    </comment>
    <comment ref="G24" authorId="1" shapeId="0" xr:uid="{00000000-0006-0000-1100-000016000000}">
      <text>
        <r>
          <rPr>
            <b/>
            <sz val="8"/>
            <color indexed="81"/>
            <rFont val="Tahoma"/>
            <family val="2"/>
          </rPr>
          <t>Kumar Patel:</t>
        </r>
        <r>
          <rPr>
            <sz val="8"/>
            <color indexed="81"/>
            <rFont val="Tahoma"/>
            <family val="2"/>
          </rPr>
          <t xml:space="preserve">
Decreased due to underspending and increased revenue from Drag Me to the Bomber</t>
        </r>
      </text>
    </comment>
    <comment ref="S24" authorId="0" shapeId="0" xr:uid="{00000000-0006-0000-1100-000017000000}">
      <text>
        <r>
          <rPr>
            <b/>
            <sz val="9"/>
            <color indexed="81"/>
            <rFont val="Tahoma"/>
            <family val="2"/>
          </rPr>
          <t>Kurt MacMillan:</t>
        </r>
        <r>
          <rPr>
            <sz val="9"/>
            <color indexed="81"/>
            <rFont val="Tahoma"/>
            <family val="2"/>
          </rPr>
          <t xml:space="preserve">
Drag, Trans Day, Pride House, Coming Out Week, Bonfires etc</t>
        </r>
      </text>
    </comment>
    <comment ref="G25" authorId="1" shapeId="0" xr:uid="{00000000-0006-0000-1100-000018000000}">
      <text>
        <r>
          <rPr>
            <b/>
            <sz val="8"/>
            <color indexed="81"/>
            <rFont val="Tahoma"/>
            <family val="2"/>
          </rPr>
          <t>Kumar Patel:</t>
        </r>
        <r>
          <rPr>
            <sz val="8"/>
            <color indexed="81"/>
            <rFont val="Tahoma"/>
            <family val="2"/>
          </rPr>
          <t xml:space="preserve">
Added to allow for the hirgn of a Work-Study student in Fall and Winter terms</t>
        </r>
      </text>
    </comment>
    <comment ref="I25" authorId="2" shapeId="0" xr:uid="{00000000-0006-0000-1100-000019000000}">
      <text>
        <r>
          <rPr>
            <b/>
            <sz val="8"/>
            <color indexed="81"/>
            <rFont val="Tahoma"/>
            <family val="2"/>
          </rPr>
          <t>Brendan Lowther:</t>
        </r>
        <r>
          <rPr>
            <sz val="8"/>
            <color indexed="81"/>
            <rFont val="Tahoma"/>
            <family val="2"/>
          </rPr>
          <t xml:space="preserve">
removed as unused from previous year
</t>
        </r>
      </text>
    </comment>
    <comment ref="I26" authorId="2" shapeId="0" xr:uid="{00000000-0006-0000-1100-00001A000000}">
      <text>
        <r>
          <rPr>
            <b/>
            <sz val="8"/>
            <color indexed="81"/>
            <rFont val="Tahoma"/>
            <family val="2"/>
          </rPr>
          <t>Brendan Lowther:</t>
        </r>
        <r>
          <rPr>
            <sz val="8"/>
            <color indexed="81"/>
            <rFont val="Tahoma"/>
            <family val="2"/>
          </rPr>
          <t xml:space="preserve">
New Line - Training is a full day affair now, so $200 per term for food is required</t>
        </r>
      </text>
    </comment>
    <comment ref="S26" authorId="0" shapeId="0" xr:uid="{00000000-0006-0000-1100-00001B000000}">
      <text>
        <r>
          <rPr>
            <b/>
            <sz val="9"/>
            <color indexed="81"/>
            <rFont val="Tahoma"/>
            <family val="2"/>
          </rPr>
          <t>Kurt MacMillan:</t>
        </r>
        <r>
          <rPr>
            <sz val="9"/>
            <color indexed="81"/>
            <rFont val="Tahoma"/>
            <family val="2"/>
          </rPr>
          <t xml:space="preserve">
Seen a large increase in volunteers. Expecting  35 in Spring, 50 in Winter and Fall</t>
        </r>
      </text>
    </comment>
    <comment ref="S27" authorId="0" shapeId="0" xr:uid="{00000000-0006-0000-1100-00001C000000}">
      <text>
        <r>
          <rPr>
            <b/>
            <sz val="9"/>
            <color indexed="81"/>
            <rFont val="Tahoma"/>
            <family val="2"/>
          </rPr>
          <t>Kurt MacMillan:</t>
        </r>
        <r>
          <rPr>
            <sz val="9"/>
            <color indexed="81"/>
            <rFont val="Tahoma"/>
            <family val="2"/>
          </rPr>
          <t xml:space="preserve">
50th anniversary want to hire for that</t>
        </r>
      </text>
    </comment>
    <comment ref="T27" authorId="6" shapeId="0" xr:uid="{00000000-0006-0000-1100-00001D000000}">
      <text>
        <r>
          <rPr>
            <b/>
            <sz val="9"/>
            <color indexed="81"/>
            <rFont val="Tahoma"/>
            <charset val="1"/>
          </rPr>
          <t>Windows User:</t>
        </r>
        <r>
          <rPr>
            <sz val="9"/>
            <color indexed="81"/>
            <rFont val="Tahoma"/>
            <charset val="1"/>
          </rPr>
          <t xml:space="preserve">
FY2018-2019 budget went unused because of no hiring, this year will be used.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Windows User</author>
    <author>Del Pereria</author>
    <author>s4cook</author>
    <author>Kumar Patel</author>
    <author>Brendan Lowther</author>
    <author>Maaz Yasin</author>
    <author>Kurt MacMillan</author>
    <author>Renjie Butalid</author>
    <author>nbest</author>
    <author>Natasha Pozega</author>
  </authors>
  <commentList>
    <comment ref="T5" authorId="0" shapeId="0" xr:uid="{00000000-0006-0000-1200-000001000000}">
      <text>
        <r>
          <rPr>
            <b/>
            <sz val="9"/>
            <color indexed="81"/>
            <rFont val="Tahoma"/>
            <charset val="1"/>
          </rPr>
          <t>Windows User:</t>
        </r>
        <r>
          <rPr>
            <sz val="9"/>
            <color indexed="81"/>
            <rFont val="Tahoma"/>
            <charset val="1"/>
          </rPr>
          <t xml:space="preserve">
potential only having 1 sidewalk sale</t>
        </r>
      </text>
    </comment>
    <comment ref="B12" authorId="1" shapeId="0" xr:uid="{00000000-0006-0000-1200-000002000000}">
      <text>
        <r>
          <rPr>
            <b/>
            <sz val="8"/>
            <color indexed="81"/>
            <rFont val="Tahoma"/>
            <family val="2"/>
          </rPr>
          <t>Del Pereria:</t>
        </r>
        <r>
          <rPr>
            <sz val="8"/>
            <color indexed="81"/>
            <rFont val="Tahoma"/>
            <family val="2"/>
          </rPr>
          <t xml:space="preserve">
NEW LINE ITEM
</t>
        </r>
      </text>
    </comment>
    <comment ref="C12" authorId="2" shapeId="0" xr:uid="{00000000-0006-0000-1200-000003000000}">
      <text>
        <r>
          <rPr>
            <b/>
            <sz val="8"/>
            <color indexed="81"/>
            <rFont val="Tahoma"/>
            <family val="2"/>
          </rPr>
          <t>s4cook:</t>
        </r>
        <r>
          <rPr>
            <sz val="8"/>
            <color indexed="81"/>
            <rFont val="Tahoma"/>
            <family val="2"/>
          </rPr>
          <t xml:space="preserve">
- 120 volunteers for all the working groups and the general service volunteers</t>
        </r>
      </text>
    </comment>
    <comment ref="G12" authorId="3" shapeId="0" xr:uid="{00000000-0006-0000-1200-000004000000}">
      <text>
        <r>
          <rPr>
            <b/>
            <sz val="8"/>
            <color indexed="81"/>
            <rFont val="Tahoma"/>
            <family val="2"/>
          </rPr>
          <t>Kumar Patel:</t>
        </r>
        <r>
          <rPr>
            <sz val="8"/>
            <color indexed="81"/>
            <rFont val="Tahoma"/>
            <family val="2"/>
          </rPr>
          <t xml:space="preserve">
Increased to match volunteer appreciation matrix of other service and all volunteer</t>
        </r>
      </text>
    </comment>
    <comment ref="I12" authorId="4" shapeId="0" xr:uid="{00000000-0006-0000-1200-000005000000}">
      <text>
        <r>
          <rPr>
            <b/>
            <sz val="8"/>
            <color indexed="81"/>
            <rFont val="Tahoma"/>
            <family val="2"/>
          </rPr>
          <t>Brendan Lowther:</t>
        </r>
        <r>
          <rPr>
            <sz val="8"/>
            <color indexed="81"/>
            <rFont val="Tahoma"/>
            <family val="2"/>
          </rPr>
          <t xml:space="preserve">
30 Volunteers x $10/term + 6 Execs @ $30/term + 2 Coords x 3 meals and Manager x 3 meals </t>
        </r>
      </text>
    </comment>
    <comment ref="G15" authorId="3" shapeId="0" xr:uid="{00000000-0006-0000-1200-000006000000}">
      <text>
        <r>
          <rPr>
            <b/>
            <sz val="8"/>
            <color indexed="81"/>
            <rFont val="Tahoma"/>
            <family val="2"/>
          </rPr>
          <t>Kumar Patel:</t>
        </r>
        <r>
          <rPr>
            <sz val="8"/>
            <color indexed="81"/>
            <rFont val="Tahoma"/>
            <family val="2"/>
          </rPr>
          <t xml:space="preserve">
Decreased, no supplies needed</t>
        </r>
      </text>
    </comment>
    <comment ref="G16" authorId="3" shapeId="0" xr:uid="{00000000-0006-0000-1200-000007000000}">
      <text>
        <r>
          <rPr>
            <b/>
            <sz val="8"/>
            <color indexed="81"/>
            <rFont val="Tahoma"/>
            <family val="2"/>
          </rPr>
          <t>Kumar Patel:</t>
        </r>
        <r>
          <rPr>
            <sz val="8"/>
            <color indexed="81"/>
            <rFont val="Tahoma"/>
            <family val="2"/>
          </rPr>
          <t xml:space="preserve">
Decreased, will find efficiencies</t>
        </r>
      </text>
    </comment>
    <comment ref="C17" authorId="2" shapeId="0" xr:uid="{00000000-0006-0000-1200-000008000000}">
      <text>
        <r>
          <rPr>
            <b/>
            <sz val="8"/>
            <color indexed="81"/>
            <rFont val="Tahoma"/>
            <family val="2"/>
          </rPr>
          <t>s4cook:</t>
        </r>
        <r>
          <rPr>
            <sz val="8"/>
            <color indexed="81"/>
            <rFont val="Tahoma"/>
            <family val="2"/>
          </rPr>
          <t xml:space="preserve">
? Nikki to find out</t>
        </r>
      </text>
    </comment>
    <comment ref="G17" authorId="3" shapeId="0" xr:uid="{00000000-0006-0000-1200-000009000000}">
      <text>
        <r>
          <rPr>
            <b/>
            <sz val="8"/>
            <color indexed="81"/>
            <rFont val="Tahoma"/>
            <family val="2"/>
          </rPr>
          <t>Kumar Patel:</t>
        </r>
        <r>
          <rPr>
            <sz val="8"/>
            <color indexed="81"/>
            <rFont val="Tahoma"/>
            <family val="2"/>
          </rPr>
          <t xml:space="preserve">
Cut. No plansfor any conferences </t>
        </r>
      </text>
    </comment>
    <comment ref="C18" authorId="2" shapeId="0" xr:uid="{00000000-0006-0000-1200-00000A000000}">
      <text>
        <r>
          <rPr>
            <b/>
            <sz val="8"/>
            <color indexed="81"/>
            <rFont val="Tahoma"/>
            <family val="2"/>
          </rPr>
          <t>s4cook:</t>
        </r>
        <r>
          <rPr>
            <sz val="8"/>
            <color indexed="81"/>
            <rFont val="Tahoma"/>
            <family val="2"/>
          </rPr>
          <t xml:space="preserve">
last years budget x 2
</t>
        </r>
      </text>
    </comment>
    <comment ref="G18" authorId="3" shapeId="0" xr:uid="{00000000-0006-0000-1200-00000B000000}">
      <text>
        <r>
          <rPr>
            <b/>
            <sz val="8"/>
            <color indexed="81"/>
            <rFont val="Tahoma"/>
            <family val="2"/>
          </rPr>
          <t>Kumar Patel:</t>
        </r>
        <r>
          <rPr>
            <sz val="8"/>
            <color indexed="81"/>
            <rFont val="Tahoma"/>
            <family val="2"/>
          </rPr>
          <t xml:space="preserve">
Please see attached prposal for additional advertising supplies needed from otuside Feds Marketin Department</t>
        </r>
      </text>
    </comment>
    <comment ref="I20" authorId="4" shapeId="0" xr:uid="{00000000-0006-0000-1200-00000C000000}">
      <text>
        <r>
          <rPr>
            <b/>
            <sz val="8"/>
            <color indexed="81"/>
            <rFont val="Tahoma"/>
            <family val="2"/>
          </rPr>
          <t>Brendan Lowther:</t>
        </r>
        <r>
          <rPr>
            <sz val="8"/>
            <color indexed="81"/>
            <rFont val="Tahoma"/>
            <family val="2"/>
          </rPr>
          <t xml:space="preserve">
increase as other lines are consolidated into this one</t>
        </r>
      </text>
    </comment>
    <comment ref="M20" authorId="5" shapeId="0" xr:uid="{00000000-0006-0000-1200-00000D000000}">
      <text>
        <r>
          <rPr>
            <b/>
            <sz val="9"/>
            <color indexed="81"/>
            <rFont val="Tahoma"/>
            <family val="2"/>
          </rPr>
          <t>Maaz Yasin:</t>
        </r>
        <r>
          <rPr>
            <sz val="9"/>
            <color indexed="81"/>
            <rFont val="Tahoma"/>
            <family val="2"/>
          </rPr>
          <t xml:space="preserve">
To reflect change made by Council</t>
        </r>
      </text>
    </comment>
    <comment ref="S20" authorId="6" shapeId="0" xr:uid="{00000000-0006-0000-1200-00000E000000}">
      <text>
        <r>
          <rPr>
            <b/>
            <sz val="9"/>
            <color indexed="81"/>
            <rFont val="Tahoma"/>
            <family val="2"/>
          </rPr>
          <t>Kurt MacMillan:</t>
        </r>
        <r>
          <rPr>
            <sz val="9"/>
            <color indexed="81"/>
            <rFont val="Tahoma"/>
            <family val="2"/>
          </rPr>
          <t xml:space="preserve">
expansion of SCI talks collab w TedX</t>
        </r>
      </text>
    </comment>
    <comment ref="C23" authorId="2" shapeId="0" xr:uid="{00000000-0006-0000-1200-00000F000000}">
      <text>
        <r>
          <rPr>
            <b/>
            <sz val="8"/>
            <color indexed="81"/>
            <rFont val="Tahoma"/>
            <family val="2"/>
          </rPr>
          <t>s4cook:</t>
        </r>
        <r>
          <rPr>
            <sz val="8"/>
            <color indexed="81"/>
            <rFont val="Tahoma"/>
            <family val="2"/>
          </rPr>
          <t xml:space="preserve">
- removed engineering consult fee of $450 for solar panels</t>
        </r>
      </text>
    </comment>
    <comment ref="I23" authorId="4" shapeId="0" xr:uid="{00000000-0006-0000-1200-000010000000}">
      <text>
        <r>
          <rPr>
            <b/>
            <sz val="8"/>
            <color indexed="81"/>
            <rFont val="Tahoma"/>
            <family val="2"/>
          </rPr>
          <t>Brendan Lowther:</t>
        </r>
        <r>
          <rPr>
            <sz val="8"/>
            <color indexed="81"/>
            <rFont val="Tahoma"/>
            <family val="2"/>
          </rPr>
          <t xml:space="preserve">
Green Bomber/Green Day in Spring 13</t>
        </r>
      </text>
    </comment>
    <comment ref="C25" authorId="2" shapeId="0" xr:uid="{00000000-0006-0000-1200-000011000000}">
      <text>
        <r>
          <rPr>
            <b/>
            <sz val="8"/>
            <color indexed="81"/>
            <rFont val="Tahoma"/>
            <family val="2"/>
          </rPr>
          <t>s4cook:</t>
        </r>
        <r>
          <rPr>
            <sz val="8"/>
            <color indexed="81"/>
            <rFont val="Tahoma"/>
            <family val="2"/>
          </rPr>
          <t xml:space="preserve">
- removed trees for st. pauls
</t>
        </r>
      </text>
    </comment>
    <comment ref="I25" authorId="4" shapeId="0" xr:uid="{00000000-0006-0000-1200-000012000000}">
      <text>
        <r>
          <rPr>
            <b/>
            <sz val="8"/>
            <color indexed="81"/>
            <rFont val="Tahoma"/>
            <family val="2"/>
          </rPr>
          <t>Brendan Lowther:</t>
        </r>
        <r>
          <rPr>
            <sz val="8"/>
            <color indexed="81"/>
            <rFont val="Tahoma"/>
            <family val="2"/>
          </rPr>
          <t xml:space="preserve">
removed and added to special projects</t>
        </r>
      </text>
    </comment>
    <comment ref="B26" authorId="7" shapeId="0" xr:uid="{00000000-0006-0000-1200-000013000000}">
      <text>
        <r>
          <rPr>
            <b/>
            <sz val="8"/>
            <color indexed="81"/>
            <rFont val="Tahoma"/>
            <family val="2"/>
          </rPr>
          <t>Renjie Butalid:</t>
        </r>
        <r>
          <rPr>
            <sz val="8"/>
            <color indexed="81"/>
            <rFont val="Tahoma"/>
            <family val="2"/>
          </rPr>
          <t xml:space="preserve">
New Line Item Added</t>
        </r>
      </text>
    </comment>
    <comment ref="B27" authorId="1" shapeId="0" xr:uid="{00000000-0006-0000-1200-000014000000}">
      <text>
        <r>
          <rPr>
            <b/>
            <sz val="8"/>
            <color indexed="81"/>
            <rFont val="Tahoma"/>
            <family val="2"/>
          </rPr>
          <t>Del Pereria:</t>
        </r>
        <r>
          <rPr>
            <sz val="8"/>
            <color indexed="81"/>
            <rFont val="Tahoma"/>
            <family val="2"/>
          </rPr>
          <t xml:space="preserve">
new line item
</t>
        </r>
      </text>
    </comment>
    <comment ref="B28" authorId="1" shapeId="0" xr:uid="{00000000-0006-0000-1200-000015000000}">
      <text>
        <r>
          <rPr>
            <b/>
            <sz val="8"/>
            <color indexed="81"/>
            <rFont val="Tahoma"/>
            <family val="2"/>
          </rPr>
          <t>Del Pereria:</t>
        </r>
        <r>
          <rPr>
            <sz val="8"/>
            <color indexed="81"/>
            <rFont val="Tahoma"/>
            <family val="2"/>
          </rPr>
          <t xml:space="preserve">
new line item
</t>
        </r>
      </text>
    </comment>
    <comment ref="B30" authorId="1" shapeId="0" xr:uid="{00000000-0006-0000-1200-000016000000}">
      <text>
        <r>
          <rPr>
            <b/>
            <sz val="8"/>
            <color indexed="81"/>
            <rFont val="Tahoma"/>
            <family val="2"/>
          </rPr>
          <t xml:space="preserve">Del Pereira:
new line item
</t>
        </r>
      </text>
    </comment>
    <comment ref="I31" authorId="4" shapeId="0" xr:uid="{00000000-0006-0000-1200-000017000000}">
      <text>
        <r>
          <rPr>
            <b/>
            <sz val="8"/>
            <color indexed="81"/>
            <rFont val="Tahoma"/>
            <family val="2"/>
          </rPr>
          <t>Brendan Lowther:</t>
        </r>
        <r>
          <rPr>
            <sz val="8"/>
            <color indexed="81"/>
            <rFont val="Tahoma"/>
            <family val="2"/>
          </rPr>
          <t xml:space="preserve">
removed and added to special projects</t>
        </r>
      </text>
    </comment>
    <comment ref="C32" authorId="8" shapeId="0" xr:uid="{00000000-0006-0000-1200-000018000000}">
      <text>
        <r>
          <rPr>
            <sz val="8"/>
            <color indexed="81"/>
            <rFont val="Tahoma"/>
            <family val="2"/>
          </rPr>
          <t xml:space="preserve">- warrior weekends
</t>
        </r>
      </text>
    </comment>
    <comment ref="I32" authorId="4" shapeId="0" xr:uid="{00000000-0006-0000-1200-000019000000}">
      <text>
        <r>
          <rPr>
            <b/>
            <sz val="8"/>
            <color indexed="81"/>
            <rFont val="Tahoma"/>
            <family val="2"/>
          </rPr>
          <t>Brendan Lowther:</t>
        </r>
        <r>
          <rPr>
            <sz val="8"/>
            <color indexed="81"/>
            <rFont val="Tahoma"/>
            <family val="2"/>
          </rPr>
          <t xml:space="preserve">
removed and added to special projects</t>
        </r>
      </text>
    </comment>
    <comment ref="I33" authorId="4" shapeId="0" xr:uid="{00000000-0006-0000-1200-00001A000000}">
      <text>
        <r>
          <rPr>
            <b/>
            <sz val="8"/>
            <color indexed="81"/>
            <rFont val="Tahoma"/>
            <family val="2"/>
          </rPr>
          <t>Brendan Lowther:</t>
        </r>
        <r>
          <rPr>
            <sz val="8"/>
            <color indexed="81"/>
            <rFont val="Tahoma"/>
            <family val="2"/>
          </rPr>
          <t xml:space="preserve">
removed and added to special projects</t>
        </r>
      </text>
    </comment>
    <comment ref="M34" authorId="5" shapeId="0" xr:uid="{00000000-0006-0000-1200-00001B000000}">
      <text>
        <r>
          <rPr>
            <b/>
            <sz val="9"/>
            <color indexed="81"/>
            <rFont val="Tahoma"/>
            <family val="2"/>
          </rPr>
          <t>Maaz Yasin:</t>
        </r>
        <r>
          <rPr>
            <sz val="9"/>
            <color indexed="81"/>
            <rFont val="Tahoma"/>
            <family val="2"/>
          </rPr>
          <t xml:space="preserve">
SCI can apply for int'l work study which is cheaper</t>
        </r>
      </text>
    </comment>
    <comment ref="B35" authorId="1" shapeId="0" xr:uid="{00000000-0006-0000-1200-00001C000000}">
      <text>
        <r>
          <rPr>
            <b/>
            <sz val="8"/>
            <color indexed="81"/>
            <rFont val="Tahoma"/>
            <family val="2"/>
          </rPr>
          <t>Del Pereria:</t>
        </r>
        <r>
          <rPr>
            <sz val="8"/>
            <color indexed="81"/>
            <rFont val="Tahoma"/>
            <family val="2"/>
          </rPr>
          <t xml:space="preserve">
NEW LINE ITEM
</t>
        </r>
      </text>
    </comment>
    <comment ref="I35" authorId="4" shapeId="0" xr:uid="{00000000-0006-0000-1200-00001D000000}">
      <text>
        <r>
          <rPr>
            <b/>
            <sz val="8"/>
            <color indexed="81"/>
            <rFont val="Tahoma"/>
            <family val="2"/>
          </rPr>
          <t>Brendan Lowther:</t>
        </r>
        <r>
          <rPr>
            <sz val="8"/>
            <color indexed="81"/>
            <rFont val="Tahoma"/>
            <family val="2"/>
          </rPr>
          <t xml:space="preserve">
removed and added to special projects</t>
        </r>
      </text>
    </comment>
    <comment ref="I38" authorId="4" shapeId="0" xr:uid="{00000000-0006-0000-1200-00001E000000}">
      <text>
        <r>
          <rPr>
            <b/>
            <sz val="8"/>
            <color indexed="81"/>
            <rFont val="Tahoma"/>
            <family val="2"/>
          </rPr>
          <t>Brendan Lowther:</t>
        </r>
        <r>
          <rPr>
            <sz val="8"/>
            <color indexed="81"/>
            <rFont val="Tahoma"/>
            <family val="2"/>
          </rPr>
          <t xml:space="preserve">
removed and added to special projects</t>
        </r>
      </text>
    </comment>
    <comment ref="I41" authorId="9" shapeId="0" xr:uid="{00000000-0006-0000-1200-00001F000000}">
      <text>
        <r>
          <rPr>
            <b/>
            <sz val="8"/>
            <color indexed="81"/>
            <rFont val="Tahoma"/>
            <family val="2"/>
          </rPr>
          <t>Natasha Pozega:</t>
        </r>
        <r>
          <rPr>
            <sz val="8"/>
            <color indexed="81"/>
            <rFont val="Tahoma"/>
            <family val="2"/>
          </rPr>
          <t xml:space="preserve">
Small budget to allow volunteers to come up with termly intitiaves beyond the large projects
</t>
        </r>
      </text>
    </comment>
    <comment ref="I45" authorId="4" shapeId="0" xr:uid="{00000000-0006-0000-1200-000020000000}">
      <text>
        <r>
          <rPr>
            <b/>
            <sz val="8"/>
            <color indexed="81"/>
            <rFont val="Tahoma"/>
            <family val="2"/>
          </rPr>
          <t>Brendan Lowther:</t>
        </r>
        <r>
          <rPr>
            <sz val="8"/>
            <color indexed="81"/>
            <rFont val="Tahoma"/>
            <family val="2"/>
          </rPr>
          <t xml:space="preserve">
New campaign in the Spring term called Recycle week. Smaller events planned throughout the week</t>
        </r>
      </text>
    </comment>
    <comment ref="S46" authorId="6" shapeId="0" xr:uid="{00000000-0006-0000-1200-000021000000}">
      <text>
        <r>
          <rPr>
            <b/>
            <sz val="9"/>
            <color indexed="81"/>
            <rFont val="Tahoma"/>
            <family val="2"/>
          </rPr>
          <t>Kurt MacMillan:</t>
        </r>
        <r>
          <rPr>
            <sz val="9"/>
            <color indexed="81"/>
            <rFont val="Tahoma"/>
            <family val="2"/>
          </rPr>
          <t xml:space="preserve">
Increase in hopes to have more promotion or appreciation for vendors</t>
        </r>
      </text>
    </comment>
    <comment ref="I47" authorId="4" shapeId="0" xr:uid="{00000000-0006-0000-1200-000022000000}">
      <text>
        <r>
          <rPr>
            <b/>
            <sz val="8"/>
            <color indexed="81"/>
            <rFont val="Tahoma"/>
            <family val="2"/>
          </rPr>
          <t>Brendan Lowther:</t>
        </r>
        <r>
          <rPr>
            <sz val="8"/>
            <color indexed="81"/>
            <rFont val="Tahoma"/>
            <family val="2"/>
          </rPr>
          <t xml:space="preserve">
Purchase of new signs</t>
        </r>
      </text>
    </comment>
    <comment ref="S48" authorId="6" shapeId="0" xr:uid="{00000000-0006-0000-1200-000023000000}">
      <text>
        <r>
          <rPr>
            <b/>
            <sz val="9"/>
            <color indexed="81"/>
            <rFont val="Tahoma"/>
            <family val="2"/>
          </rPr>
          <t>Kurt MacMillan:</t>
        </r>
        <r>
          <rPr>
            <sz val="9"/>
            <color indexed="81"/>
            <rFont val="Tahoma"/>
            <family val="2"/>
          </rPr>
          <t xml:space="preserve">
From Accounting. Finished amortizing off fountains</t>
        </r>
      </text>
    </comment>
    <comment ref="T51" authorId="0" shapeId="0" xr:uid="{00000000-0006-0000-1200-000024000000}">
      <text>
        <r>
          <rPr>
            <b/>
            <sz val="9"/>
            <color indexed="81"/>
            <rFont val="Tahoma"/>
            <charset val="1"/>
          </rPr>
          <t>Windows User:</t>
        </r>
        <r>
          <rPr>
            <sz val="9"/>
            <color indexed="81"/>
            <rFont val="Tahoma"/>
            <charset val="1"/>
          </rPr>
          <t xml:space="preserve">
Budget &amp; Apps Committee recommends to Council that any additional funds brought in by SCI are retained by the service for use for their purposes.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s4cook</author>
    <author>Kumar Patel</author>
    <author>Brendan Lowther</author>
    <author>Kurt MacMillan</author>
    <author>Windows User</author>
    <author>nbest</author>
    <author>Maaz Yasin</author>
  </authors>
  <commentList>
    <comment ref="C14" authorId="0" shapeId="0" xr:uid="{00000000-0006-0000-1300-000001000000}">
      <text>
        <r>
          <rPr>
            <b/>
            <sz val="8"/>
            <color indexed="81"/>
            <rFont val="Tahoma"/>
            <family val="2"/>
          </rPr>
          <t>s4cook:</t>
        </r>
        <r>
          <rPr>
            <sz val="8"/>
            <color indexed="81"/>
            <rFont val="Tahoma"/>
            <family val="2"/>
          </rPr>
          <t xml:space="preserve">
meal per term, and a sweater for each don; trying to bring up to par with UW Housing</t>
        </r>
      </text>
    </comment>
    <comment ref="G14" authorId="1" shapeId="0" xr:uid="{00000000-0006-0000-1300-000002000000}">
      <text>
        <r>
          <rPr>
            <b/>
            <sz val="8"/>
            <color indexed="81"/>
            <rFont val="Tahoma"/>
            <family val="2"/>
          </rPr>
          <t>Kumar Patel:</t>
        </r>
        <r>
          <rPr>
            <sz val="8"/>
            <color indexed="81"/>
            <rFont val="Tahoma"/>
            <family val="2"/>
          </rPr>
          <t xml:space="preserve">
Decreased to match volunteer appreciation matrix of other services. Approx 31 dons per term</t>
        </r>
      </text>
    </comment>
    <comment ref="I14" authorId="2" shapeId="0" xr:uid="{00000000-0006-0000-1300-000003000000}">
      <text>
        <r>
          <rPr>
            <b/>
            <sz val="8"/>
            <color indexed="81"/>
            <rFont val="Tahoma"/>
            <family val="2"/>
          </rPr>
          <t>Brendan Lowther:</t>
        </r>
        <r>
          <rPr>
            <sz val="8"/>
            <color indexed="81"/>
            <rFont val="Tahoma"/>
            <family val="2"/>
          </rPr>
          <t xml:space="preserve">
26 Dons @ $10 each and 3 execs @ $30 + 3 Manager and 3 Coord meals @$30</t>
        </r>
      </text>
    </comment>
    <comment ref="S14" authorId="3" shapeId="0" xr:uid="{00000000-0006-0000-1300-000004000000}">
      <text>
        <r>
          <rPr>
            <b/>
            <sz val="9"/>
            <color indexed="81"/>
            <rFont val="Tahoma"/>
            <family val="2"/>
          </rPr>
          <t>Kurt MacMillan:</t>
        </r>
        <r>
          <rPr>
            <sz val="9"/>
            <color indexed="81"/>
            <rFont val="Tahoma"/>
            <family val="2"/>
          </rPr>
          <t xml:space="preserve">
If Actuals are more it's because there were more dons:
- 2{(30x3)+(20x34)}=$1540,</t>
        </r>
      </text>
    </comment>
    <comment ref="T15" authorId="4" shapeId="0" xr:uid="{00000000-0006-0000-1300-000005000000}">
      <text>
        <r>
          <rPr>
            <b/>
            <sz val="9"/>
            <color indexed="81"/>
            <rFont val="Tahoma"/>
            <charset val="1"/>
          </rPr>
          <t>Windows User:</t>
        </r>
        <r>
          <rPr>
            <sz val="9"/>
            <color indexed="81"/>
            <rFont val="Tahoma"/>
            <charset val="1"/>
          </rPr>
          <t xml:space="preserve">
install in late spring due to peer support starting in fall (includes panic button install cost) </t>
        </r>
      </text>
    </comment>
    <comment ref="I18" authorId="2" shapeId="0" xr:uid="{00000000-0006-0000-1300-000006000000}">
      <text>
        <r>
          <rPr>
            <b/>
            <sz val="8"/>
            <color indexed="81"/>
            <rFont val="Tahoma"/>
            <family val="2"/>
          </rPr>
          <t>Brendan Lowther:</t>
        </r>
        <r>
          <rPr>
            <sz val="8"/>
            <color indexed="81"/>
            <rFont val="Tahoma"/>
            <family val="2"/>
          </rPr>
          <t xml:space="preserve">
reduced per spending requirements</t>
        </r>
      </text>
    </comment>
    <comment ref="G19" authorId="1" shapeId="0" xr:uid="{00000000-0006-0000-1300-000007000000}">
      <text>
        <r>
          <rPr>
            <b/>
            <sz val="8"/>
            <color indexed="81"/>
            <rFont val="Tahoma"/>
            <family val="2"/>
          </rPr>
          <t>Kumar Patel:</t>
        </r>
        <r>
          <rPr>
            <sz val="8"/>
            <color indexed="81"/>
            <rFont val="Tahoma"/>
            <family val="2"/>
          </rPr>
          <t xml:space="preserve">
Services advertising lines are being transferred to be reflected in marketing account</t>
        </r>
      </text>
    </comment>
    <comment ref="B21" authorId="5" shapeId="0" xr:uid="{00000000-0006-0000-1300-000008000000}">
      <text>
        <r>
          <rPr>
            <b/>
            <sz val="8"/>
            <color indexed="81"/>
            <rFont val="Tahoma"/>
            <family val="2"/>
          </rPr>
          <t>nbest:</t>
        </r>
        <r>
          <rPr>
            <sz val="8"/>
            <color indexed="81"/>
            <rFont val="Tahoma"/>
            <family val="2"/>
          </rPr>
          <t xml:space="preserve">
New Line 2010-2011
</t>
        </r>
      </text>
    </comment>
    <comment ref="G22" authorId="1" shapeId="0" xr:uid="{00000000-0006-0000-1300-000009000000}">
      <text>
        <r>
          <rPr>
            <b/>
            <sz val="8"/>
            <color indexed="81"/>
            <rFont val="Tahoma"/>
            <family val="2"/>
          </rPr>
          <t>Kumar Patel:</t>
        </r>
        <r>
          <rPr>
            <sz val="8"/>
            <color indexed="81"/>
            <rFont val="Tahoma"/>
            <family val="2"/>
          </rPr>
          <t xml:space="preserve">
Decreased to be reflectant of annual grant from AP students</t>
        </r>
      </text>
    </comment>
    <comment ref="I22" authorId="2" shapeId="0" xr:uid="{00000000-0006-0000-1300-00000A000000}">
      <text>
        <r>
          <rPr>
            <b/>
            <sz val="8"/>
            <color indexed="81"/>
            <rFont val="Tahoma"/>
            <family val="2"/>
          </rPr>
          <t>Brendan Lowther:</t>
        </r>
        <r>
          <rPr>
            <sz val="8"/>
            <color indexed="81"/>
            <rFont val="Tahoma"/>
            <family val="2"/>
          </rPr>
          <t xml:space="preserve">
Increase requested due to new cost of residence rental during training</t>
        </r>
      </text>
    </comment>
    <comment ref="S22" authorId="3" shapeId="0" xr:uid="{00000000-0006-0000-1300-00000B000000}">
      <text>
        <r>
          <rPr>
            <b/>
            <sz val="9"/>
            <color indexed="81"/>
            <rFont val="Tahoma"/>
            <family val="2"/>
          </rPr>
          <t>Kurt MacMillan:</t>
        </r>
        <r>
          <rPr>
            <sz val="9"/>
            <color indexed="81"/>
            <rFont val="Tahoma"/>
            <family val="2"/>
          </rPr>
          <t xml:space="preserve">
Weekend Trg where they expect more volunteers</t>
        </r>
      </text>
    </comment>
    <comment ref="T22" authorId="4" shapeId="0" xr:uid="{00000000-0006-0000-1300-00000C000000}">
      <text>
        <r>
          <rPr>
            <b/>
            <sz val="9"/>
            <color indexed="81"/>
            <rFont val="Tahoma"/>
            <charset val="1"/>
          </rPr>
          <t>Windows User:</t>
        </r>
        <r>
          <rPr>
            <sz val="9"/>
            <color indexed="81"/>
            <rFont val="Tahoma"/>
            <charset val="1"/>
          </rPr>
          <t xml:space="preserve">
training happens before fall term </t>
        </r>
      </text>
    </comment>
    <comment ref="G23" authorId="1" shapeId="0" xr:uid="{00000000-0006-0000-1300-00000D000000}">
      <text>
        <r>
          <rPr>
            <b/>
            <sz val="8"/>
            <color indexed="81"/>
            <rFont val="Tahoma"/>
            <family val="2"/>
          </rPr>
          <t>Kumar Patel:</t>
        </r>
        <r>
          <rPr>
            <sz val="8"/>
            <color indexed="81"/>
            <rFont val="Tahoma"/>
            <family val="2"/>
          </rPr>
          <t xml:space="preserve">
Decreased due to underspending in previous years</t>
        </r>
      </text>
    </comment>
    <comment ref="M23" authorId="6" shapeId="0" xr:uid="{00000000-0006-0000-1300-00000E000000}">
      <text>
        <r>
          <rPr>
            <b/>
            <sz val="9"/>
            <color indexed="81"/>
            <rFont val="Tahoma"/>
            <family val="2"/>
          </rPr>
          <t xml:space="preserve">Maaz Yasin:
Decreased, </t>
        </r>
        <r>
          <rPr>
            <sz val="9"/>
            <color indexed="81"/>
            <rFont val="Tahoma"/>
            <family val="2"/>
          </rPr>
          <t xml:space="preserve">OCC will be encouraged to acquire sponsorships and break even at events </t>
        </r>
      </text>
    </comment>
    <comment ref="S23" authorId="3" shapeId="0" xr:uid="{00000000-0006-0000-1300-00000F000000}">
      <text>
        <r>
          <rPr>
            <b/>
            <sz val="9"/>
            <color indexed="81"/>
            <rFont val="Tahoma"/>
            <family val="2"/>
          </rPr>
          <t>Kurt MacMillan:</t>
        </r>
        <r>
          <rPr>
            <sz val="9"/>
            <color indexed="81"/>
            <rFont val="Tahoma"/>
            <family val="2"/>
          </rPr>
          <t xml:space="preserve">
Don application recruitment events - for our first years to get involved. This money is dispersed among our event groups to allow us to run events such as Karaoke Night, Coffee House, Games and Movies Night, as well as field trip events like OCC Goes to the Escape Room, or the VR Arcade</t>
        </r>
      </text>
    </comment>
    <comment ref="G24" authorId="1" shapeId="0" xr:uid="{00000000-0006-0000-1300-000010000000}">
      <text>
        <r>
          <rPr>
            <b/>
            <sz val="8"/>
            <color indexed="81"/>
            <rFont val="Tahoma"/>
            <family val="2"/>
          </rPr>
          <t>Kumar Patel:</t>
        </r>
        <r>
          <rPr>
            <sz val="8"/>
            <color indexed="81"/>
            <rFont val="Tahoma"/>
            <family val="2"/>
          </rPr>
          <t xml:space="preserve">
Decreased, will find efficiencies</t>
        </r>
      </text>
    </comment>
    <comment ref="I24" authorId="2" shapeId="0" xr:uid="{00000000-0006-0000-1300-000011000000}">
      <text>
        <r>
          <rPr>
            <b/>
            <sz val="8"/>
            <color indexed="81"/>
            <rFont val="Tahoma"/>
            <family val="2"/>
          </rPr>
          <t>Brendan Lowther:</t>
        </r>
        <r>
          <rPr>
            <sz val="8"/>
            <color indexed="81"/>
            <rFont val="Tahoma"/>
            <family val="2"/>
          </rPr>
          <t xml:space="preserve">
increase requested as spending increase reflected in cost of events
</t>
        </r>
      </text>
    </comment>
    <comment ref="B25" authorId="5" shapeId="0" xr:uid="{00000000-0006-0000-1300-000012000000}">
      <text>
        <r>
          <rPr>
            <b/>
            <sz val="8"/>
            <color indexed="81"/>
            <rFont val="Tahoma"/>
            <family val="2"/>
          </rPr>
          <t>nbest:</t>
        </r>
        <r>
          <rPr>
            <sz val="8"/>
            <color indexed="81"/>
            <rFont val="Tahoma"/>
            <family val="2"/>
          </rPr>
          <t xml:space="preserve">
New Line 2010-2011
</t>
        </r>
      </text>
    </comment>
    <comment ref="M29" authorId="6" shapeId="0" xr:uid="{00000000-0006-0000-1300-000013000000}">
      <text>
        <r>
          <rPr>
            <b/>
            <sz val="9"/>
            <color indexed="81"/>
            <rFont val="Tahoma"/>
            <family val="2"/>
          </rPr>
          <t xml:space="preserve">Maaz Yasin: </t>
        </r>
        <r>
          <rPr>
            <sz val="9"/>
            <color indexed="81"/>
            <rFont val="Tahoma"/>
            <family val="2"/>
          </rPr>
          <t xml:space="preserve">Same as last year's budget.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Kumar Patel</author>
    <author>Brendan Lowther</author>
    <author>Kurt MacMillan</author>
    <author>nbest</author>
    <author>p32patel</author>
    <author>Ben Balfour</author>
    <author>Natasha Pozega</author>
    <author>Windows User</author>
  </authors>
  <commentList>
    <comment ref="G12" authorId="0" shapeId="0" xr:uid="{00000000-0006-0000-1400-000001000000}">
      <text>
        <r>
          <rPr>
            <b/>
            <sz val="8"/>
            <color indexed="81"/>
            <rFont val="Tahoma"/>
            <family val="2"/>
          </rPr>
          <t>Kumar Patel:</t>
        </r>
        <r>
          <rPr>
            <sz val="8"/>
            <color indexed="81"/>
            <rFont val="Tahoma"/>
            <family val="2"/>
          </rPr>
          <t xml:space="preserve">
Decreased to match volunteer appreciation matrix of other services. Fewer execs in the spring term</t>
        </r>
      </text>
    </comment>
    <comment ref="I12" authorId="1" shapeId="0" xr:uid="{00000000-0006-0000-1400-000002000000}">
      <text>
        <r>
          <rPr>
            <b/>
            <sz val="8"/>
            <color indexed="81"/>
            <rFont val="Tahoma"/>
            <family val="2"/>
          </rPr>
          <t>Brendan Lowther:</t>
        </r>
        <r>
          <rPr>
            <sz val="8"/>
            <color indexed="81"/>
            <rFont val="Tahoma"/>
            <family val="2"/>
          </rPr>
          <t xml:space="preserve">
Based on 15 Vols and 5 Execs per term
+ 3 Manager Meals and +3 Coordinator Meals</t>
        </r>
      </text>
    </comment>
    <comment ref="S12" authorId="2" shapeId="0" xr:uid="{00000000-0006-0000-1400-000003000000}">
      <text>
        <r>
          <rPr>
            <b/>
            <sz val="9"/>
            <color indexed="81"/>
            <rFont val="Tahoma"/>
            <family val="2"/>
          </rPr>
          <t>Kurt MacMillan:</t>
        </r>
        <r>
          <rPr>
            <sz val="9"/>
            <color indexed="81"/>
            <rFont val="Tahoma"/>
            <family val="2"/>
          </rPr>
          <t xml:space="preserve">
Volunteer flow has remained steady over past few years</t>
        </r>
      </text>
    </comment>
    <comment ref="G14" authorId="0" shapeId="0" xr:uid="{00000000-0006-0000-1400-000004000000}">
      <text>
        <r>
          <rPr>
            <b/>
            <sz val="8"/>
            <color indexed="81"/>
            <rFont val="Tahoma"/>
            <family val="2"/>
          </rPr>
          <t>Kumar Patel:</t>
        </r>
        <r>
          <rPr>
            <sz val="8"/>
            <color indexed="81"/>
            <rFont val="Tahoma"/>
            <family val="2"/>
          </rPr>
          <t xml:space="preserve">
Decreased due to underspendng</t>
        </r>
      </text>
    </comment>
    <comment ref="G15" authorId="0" shapeId="0" xr:uid="{00000000-0006-0000-1400-000005000000}">
      <text>
        <r>
          <rPr>
            <b/>
            <sz val="8"/>
            <color indexed="81"/>
            <rFont val="Tahoma"/>
            <family val="2"/>
          </rPr>
          <t>Kumar Patel:</t>
        </r>
        <r>
          <rPr>
            <sz val="8"/>
            <color indexed="81"/>
            <rFont val="Tahoma"/>
            <family val="2"/>
          </rPr>
          <t xml:space="preserve">
Mainly for female condoms and dental dams</t>
        </r>
      </text>
    </comment>
    <comment ref="C16" authorId="3" shapeId="0" xr:uid="{00000000-0006-0000-1400-000006000000}">
      <text>
        <r>
          <rPr>
            <b/>
            <sz val="8"/>
            <color indexed="81"/>
            <rFont val="Tahoma"/>
            <family val="2"/>
          </rPr>
          <t>nbest:</t>
        </r>
        <r>
          <rPr>
            <sz val="8"/>
            <color indexed="81"/>
            <rFont val="Tahoma"/>
            <family val="2"/>
          </rPr>
          <t xml:space="preserve">
Meetings and conferences</t>
        </r>
      </text>
    </comment>
    <comment ref="G16" authorId="0" shapeId="0" xr:uid="{00000000-0006-0000-1400-000007000000}">
      <text>
        <r>
          <rPr>
            <b/>
            <sz val="8"/>
            <color indexed="81"/>
            <rFont val="Tahoma"/>
            <family val="2"/>
          </rPr>
          <t>Kumar Patel:</t>
        </r>
        <r>
          <rPr>
            <sz val="8"/>
            <color indexed="81"/>
            <rFont val="Tahoma"/>
            <family val="2"/>
          </rPr>
          <t xml:space="preserve">
Decreased, will find efficiencies</t>
        </r>
      </text>
    </comment>
    <comment ref="C17" authorId="3" shapeId="0" xr:uid="{00000000-0006-0000-1400-000008000000}">
      <text>
        <r>
          <rPr>
            <b/>
            <sz val="8"/>
            <color indexed="81"/>
            <rFont val="Tahoma"/>
            <family val="2"/>
          </rPr>
          <t>nbest:</t>
        </r>
        <r>
          <rPr>
            <sz val="8"/>
            <color indexed="81"/>
            <rFont val="Tahoma"/>
            <family val="2"/>
          </rPr>
          <t xml:space="preserve">
3 Magazines</t>
        </r>
      </text>
    </comment>
    <comment ref="E22" authorId="4" shapeId="0" xr:uid="{00000000-0006-0000-1400-000009000000}">
      <text>
        <r>
          <rPr>
            <b/>
            <sz val="8"/>
            <color indexed="81"/>
            <rFont val="Tahoma"/>
            <family val="2"/>
          </rPr>
          <t>p32patel:</t>
        </r>
        <r>
          <rPr>
            <sz val="8"/>
            <color indexed="81"/>
            <rFont val="Tahoma"/>
            <family val="2"/>
          </rPr>
          <t xml:space="preserve">
1200 dollars is for special events.</t>
        </r>
      </text>
    </comment>
    <comment ref="G22" authorId="0" shapeId="0" xr:uid="{00000000-0006-0000-1400-00000A000000}">
      <text>
        <r>
          <rPr>
            <b/>
            <sz val="8"/>
            <color indexed="81"/>
            <rFont val="Tahoma"/>
            <family val="2"/>
          </rPr>
          <t>Kumar Patel:</t>
        </r>
        <r>
          <rPr>
            <sz val="8"/>
            <color indexed="81"/>
            <rFont val="Tahoma"/>
            <family val="2"/>
          </rPr>
          <t xml:space="preserve">
Decreased, will find efficiencies</t>
        </r>
      </text>
    </comment>
    <comment ref="K22" authorId="5" shapeId="0" xr:uid="{00000000-0006-0000-1400-00000B000000}">
      <text>
        <r>
          <rPr>
            <b/>
            <sz val="9"/>
            <color indexed="81"/>
            <rFont val="Tahoma"/>
            <family val="2"/>
          </rPr>
          <t>Ben Balfour:</t>
        </r>
        <r>
          <rPr>
            <sz val="9"/>
            <color indexed="81"/>
            <rFont val="Tahoma"/>
            <family val="2"/>
          </rPr>
          <t xml:space="preserve">
Womens Center:
Events such as the SlutWalk are classified under this category which required police services, permits, etc. There will be many future events that will fall under this category and a large sum is needed to plan them accordingly.</t>
        </r>
      </text>
    </comment>
    <comment ref="C23" authorId="3" shapeId="0" xr:uid="{00000000-0006-0000-1400-00000C000000}">
      <text>
        <r>
          <rPr>
            <b/>
            <sz val="8"/>
            <color indexed="81"/>
            <rFont val="Tahoma"/>
            <family val="2"/>
          </rPr>
          <t>nbest:</t>
        </r>
        <r>
          <rPr>
            <sz val="8"/>
            <color indexed="81"/>
            <rFont val="Tahoma"/>
            <family val="2"/>
          </rPr>
          <t xml:space="preserve">
Includes Voices publication, books for library
</t>
        </r>
      </text>
    </comment>
    <comment ref="G23" authorId="0" shapeId="0" xr:uid="{00000000-0006-0000-1400-00000D000000}">
      <text>
        <r>
          <rPr>
            <b/>
            <sz val="8"/>
            <color indexed="81"/>
            <rFont val="Tahoma"/>
            <family val="2"/>
          </rPr>
          <t>Kumar Patel:</t>
        </r>
        <r>
          <rPr>
            <sz val="8"/>
            <color indexed="81"/>
            <rFont val="Tahoma"/>
            <family val="2"/>
          </rPr>
          <t xml:space="preserve">
Decreased as library is established, funds will only be utilized to purchase new topics and replace old titles. Voices printing eliminated ($50 for printing a few copies for the Centre)</t>
        </r>
      </text>
    </comment>
    <comment ref="I23" authorId="1" shapeId="0" xr:uid="{00000000-0006-0000-1400-00000E000000}">
      <text>
        <r>
          <rPr>
            <b/>
            <sz val="8"/>
            <color indexed="81"/>
            <rFont val="Tahoma"/>
            <family val="2"/>
          </rPr>
          <t>Brendan Lowther:</t>
        </r>
        <r>
          <rPr>
            <sz val="8"/>
            <color indexed="81"/>
            <rFont val="Tahoma"/>
            <family val="2"/>
          </rPr>
          <t xml:space="preserve">
reduction reflective of vast library and lack of space and spending</t>
        </r>
      </text>
    </comment>
    <comment ref="K23" authorId="5" shapeId="0" xr:uid="{00000000-0006-0000-1400-00000F000000}">
      <text>
        <r>
          <rPr>
            <b/>
            <sz val="9"/>
            <color indexed="81"/>
            <rFont val="Tahoma"/>
            <family val="2"/>
          </rPr>
          <t>Ben Balfour:</t>
        </r>
        <r>
          <rPr>
            <sz val="9"/>
            <color indexed="81"/>
            <rFont val="Tahoma"/>
            <family val="2"/>
          </rPr>
          <t xml:space="preserve">
Womens Center:
One of the key services we proide are the resources that are specific to only the WC. These include pregnancy tests and sexual health products that are often very expensive yet indispensible. This amount will be used to ensure that the centre always has these supplie at hand for the benefit of all students.</t>
        </r>
      </text>
    </comment>
    <comment ref="S23" authorId="2" shapeId="0" xr:uid="{00000000-0006-0000-1400-000010000000}">
      <text>
        <r>
          <rPr>
            <b/>
            <sz val="9"/>
            <color indexed="81"/>
            <rFont val="Tahoma"/>
            <family val="2"/>
          </rPr>
          <t>Kurt MacMillan:</t>
        </r>
        <r>
          <rPr>
            <sz val="9"/>
            <color indexed="81"/>
            <rFont val="Tahoma"/>
            <family val="2"/>
          </rPr>
          <t xml:space="preserve">
Want to stock new books in the library</t>
        </r>
      </text>
    </comment>
    <comment ref="G24" authorId="0" shapeId="0" xr:uid="{00000000-0006-0000-1400-000011000000}">
      <text>
        <r>
          <rPr>
            <b/>
            <sz val="8"/>
            <color indexed="81"/>
            <rFont val="Tahoma"/>
            <family val="2"/>
          </rPr>
          <t>Kumar Patel:</t>
        </r>
        <r>
          <rPr>
            <sz val="8"/>
            <color indexed="81"/>
            <rFont val="Tahoma"/>
            <family val="2"/>
          </rPr>
          <t xml:space="preserve">
Increased please see attached proposal</t>
        </r>
      </text>
    </comment>
    <comment ref="I24" authorId="1" shapeId="0" xr:uid="{00000000-0006-0000-1400-000012000000}">
      <text>
        <r>
          <rPr>
            <b/>
            <sz val="8"/>
            <color indexed="81"/>
            <rFont val="Tahoma"/>
            <family val="2"/>
          </rPr>
          <t>Brendan Lowther:</t>
        </r>
        <r>
          <rPr>
            <sz val="8"/>
            <color indexed="81"/>
            <rFont val="Tahoma"/>
            <family val="2"/>
          </rPr>
          <t xml:space="preserve">
reduced due to underspending</t>
        </r>
      </text>
    </comment>
    <comment ref="K24" authorId="5" shapeId="0" xr:uid="{00000000-0006-0000-1400-000013000000}">
      <text>
        <r>
          <rPr>
            <b/>
            <sz val="9"/>
            <color indexed="81"/>
            <rFont val="Tahoma"/>
            <family val="2"/>
          </rPr>
          <t>Ben Balfour:</t>
        </r>
        <r>
          <rPr>
            <sz val="9"/>
            <color indexed="81"/>
            <rFont val="Tahoma"/>
            <family val="2"/>
          </rPr>
          <t xml:space="preserve">
Womens Center:
This is one of the biggest weeks for the centre. It requires a lot of planning and external assistance from other groups. For example, self-defence classes can prove to be very expensive and because it's such an important week, we require the monetary capacity to plan specific events.</t>
        </r>
      </text>
    </comment>
    <comment ref="B26" authorId="6" shapeId="0" xr:uid="{00000000-0006-0000-1400-000014000000}">
      <text>
        <r>
          <rPr>
            <b/>
            <sz val="8"/>
            <color indexed="81"/>
            <rFont val="Tahoma"/>
            <family val="2"/>
          </rPr>
          <t>Natasha Pozega:</t>
        </r>
        <r>
          <rPr>
            <sz val="8"/>
            <color indexed="81"/>
            <rFont val="Tahoma"/>
            <family val="2"/>
          </rPr>
          <t xml:space="preserve">
Nutrition based initiatives. Istening to your body's needs. 
</t>
        </r>
      </text>
    </comment>
    <comment ref="G26" authorId="0" shapeId="0" xr:uid="{00000000-0006-0000-1400-000015000000}">
      <text>
        <r>
          <rPr>
            <b/>
            <sz val="8"/>
            <color indexed="81"/>
            <rFont val="Tahoma"/>
            <family val="2"/>
          </rPr>
          <t>Kumar Patel:</t>
        </r>
        <r>
          <rPr>
            <sz val="8"/>
            <color indexed="81"/>
            <rFont val="Tahoma"/>
            <family val="2"/>
          </rPr>
          <t xml:space="preserve">
Decreased due to underspending</t>
        </r>
      </text>
    </comment>
    <comment ref="B32" authorId="6" shapeId="0" xr:uid="{00000000-0006-0000-1400-000016000000}">
      <text>
        <r>
          <rPr>
            <b/>
            <sz val="8"/>
            <color indexed="81"/>
            <rFont val="Tahoma"/>
            <family val="2"/>
          </rPr>
          <t>Natasha Pozega:</t>
        </r>
        <r>
          <rPr>
            <sz val="8"/>
            <color indexed="81"/>
            <rFont val="Tahoma"/>
            <family val="2"/>
          </rPr>
          <t xml:space="preserve">
Avoiding body "stereotypes"</t>
        </r>
      </text>
    </comment>
    <comment ref="I32" authorId="1" shapeId="0" xr:uid="{00000000-0006-0000-1400-000017000000}">
      <text>
        <r>
          <rPr>
            <b/>
            <sz val="8"/>
            <color indexed="81"/>
            <rFont val="Tahoma"/>
            <family val="2"/>
          </rPr>
          <t>Brendan Lowther:</t>
        </r>
        <r>
          <rPr>
            <sz val="8"/>
            <color indexed="81"/>
            <rFont val="Tahoma"/>
            <family val="2"/>
          </rPr>
          <t xml:space="preserve">
New Spring Term Initiative</t>
        </r>
      </text>
    </comment>
    <comment ref="I33" authorId="1" shapeId="0" xr:uid="{00000000-0006-0000-1400-000018000000}">
      <text>
        <r>
          <rPr>
            <b/>
            <sz val="8"/>
            <color indexed="81"/>
            <rFont val="Tahoma"/>
            <family val="2"/>
          </rPr>
          <t>Brendan Lowther:</t>
        </r>
        <r>
          <rPr>
            <sz val="8"/>
            <color indexed="81"/>
            <rFont val="Tahoma"/>
            <family val="2"/>
          </rPr>
          <t xml:space="preserve">
New Line - Training is a full day affair now, so $200 per term for food is required</t>
        </r>
      </text>
    </comment>
    <comment ref="K33" authorId="5" shapeId="0" xr:uid="{00000000-0006-0000-1400-000019000000}">
      <text>
        <r>
          <rPr>
            <b/>
            <sz val="9"/>
            <color indexed="81"/>
            <rFont val="Tahoma"/>
            <family val="2"/>
          </rPr>
          <t>Ben Balfour:</t>
        </r>
        <r>
          <rPr>
            <sz val="9"/>
            <color indexed="81"/>
            <rFont val="Tahoma"/>
            <family val="2"/>
          </rPr>
          <t xml:space="preserve">
Womens Center:
Volunteer training is done with the assistance of regional organizations who provide training and support. Catering is also required for this event which proves to be expensive. In order to plan a proper training session, a lump sum is required for the volunteer training.</t>
        </r>
      </text>
    </comment>
    <comment ref="S34" authorId="2" shapeId="0" xr:uid="{00000000-0006-0000-1400-00001A000000}">
      <text>
        <r>
          <rPr>
            <b/>
            <sz val="9"/>
            <color indexed="81"/>
            <rFont val="Tahoma"/>
            <family val="2"/>
          </rPr>
          <t>Kurt MacMillan:</t>
        </r>
        <r>
          <rPr>
            <sz val="9"/>
            <color indexed="81"/>
            <rFont val="Tahoma"/>
            <family val="2"/>
          </rPr>
          <t xml:space="preserve">
Increased to secure talented headliners</t>
        </r>
      </text>
    </comment>
    <comment ref="T34" authorId="7" shapeId="0" xr:uid="{00000000-0006-0000-1400-00001B000000}">
      <text>
        <r>
          <rPr>
            <b/>
            <sz val="9"/>
            <color indexed="81"/>
            <rFont val="Tahoma"/>
            <charset val="1"/>
          </rPr>
          <t>Windows User:</t>
        </r>
        <r>
          <rPr>
            <sz val="9"/>
            <color indexed="81"/>
            <rFont val="Tahoma"/>
            <charset val="1"/>
          </rPr>
          <t xml:space="preserve">
While extra mony is needed without the Bomber, the VPOF may provide support under the event venue subsidy line.</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Windows User</author>
    <author>Maaz Yasin</author>
    <author>Kurt MacMillan</author>
  </authors>
  <commentList>
    <comment ref="J11" authorId="0" shapeId="0" xr:uid="{00000000-0006-0000-1500-000001000000}">
      <text>
        <r>
          <rPr>
            <b/>
            <sz val="9"/>
            <color indexed="81"/>
            <rFont val="Tahoma"/>
            <charset val="1"/>
          </rPr>
          <t>Windows User:</t>
        </r>
        <r>
          <rPr>
            <sz val="9"/>
            <color indexed="81"/>
            <rFont val="Tahoma"/>
            <charset val="1"/>
          </rPr>
          <t xml:space="preserve">
(20 Volunteers * 10) + (30*6) = 380</t>
        </r>
      </text>
    </comment>
    <comment ref="C15" authorId="1" shapeId="0" xr:uid="{00000000-0006-0000-1500-000002000000}">
      <text>
        <r>
          <rPr>
            <b/>
            <sz val="9"/>
            <color indexed="81"/>
            <rFont val="Tahoma"/>
            <family val="2"/>
          </rPr>
          <t>Maaz Yasin:</t>
        </r>
        <r>
          <rPr>
            <sz val="9"/>
            <color indexed="81"/>
            <rFont val="Tahoma"/>
            <family val="2"/>
          </rPr>
          <t xml:space="preserve">
More effective cost recovery </t>
        </r>
      </text>
    </comment>
    <comment ref="H15" authorId="2" shapeId="0" xr:uid="{00000000-0006-0000-1500-000003000000}">
      <text>
        <r>
          <rPr>
            <b/>
            <sz val="9"/>
            <color indexed="81"/>
            <rFont val="Tahoma"/>
            <family val="2"/>
          </rPr>
          <t>Kurt MacMillan:</t>
        </r>
        <r>
          <rPr>
            <sz val="9"/>
            <color indexed="81"/>
            <rFont val="Tahoma"/>
            <family val="2"/>
          </rPr>
          <t xml:space="preserve">
Bought many supplies </t>
        </r>
      </text>
    </comment>
    <comment ref="I16" authorId="2" shapeId="0" xr:uid="{00000000-0006-0000-1500-000004000000}">
      <text>
        <r>
          <rPr>
            <b/>
            <sz val="9"/>
            <color indexed="81"/>
            <rFont val="Tahoma"/>
            <family val="2"/>
          </rPr>
          <t>Kurt MacMillan:</t>
        </r>
        <r>
          <rPr>
            <sz val="9"/>
            <color indexed="81"/>
            <rFont val="Tahoma"/>
            <family val="2"/>
          </rPr>
          <t xml:space="preserve">
To maintain parts for new bike rental program</t>
        </r>
      </text>
    </comment>
    <comment ref="C17" authorId="1" shapeId="0" xr:uid="{00000000-0006-0000-1500-000005000000}">
      <text>
        <r>
          <rPr>
            <b/>
            <sz val="9"/>
            <color indexed="81"/>
            <rFont val="Tahoma"/>
            <family val="2"/>
          </rPr>
          <t>Maaz Yasin:</t>
        </r>
        <r>
          <rPr>
            <sz val="9"/>
            <color indexed="81"/>
            <rFont val="Tahoma"/>
            <family val="2"/>
          </rPr>
          <t xml:space="preserve">
EPM of $200 should be sufficient for Winter term</t>
        </r>
      </text>
    </comment>
    <comment ref="C18" authorId="1" shapeId="0" xr:uid="{00000000-0006-0000-1500-000006000000}">
      <text>
        <r>
          <rPr>
            <b/>
            <sz val="9"/>
            <color indexed="81"/>
            <rFont val="Tahoma"/>
            <family val="2"/>
          </rPr>
          <t>Maaz Yasin:</t>
        </r>
        <r>
          <rPr>
            <sz val="9"/>
            <color indexed="81"/>
            <rFont val="Tahoma"/>
            <family val="2"/>
          </rPr>
          <t xml:space="preserve">
Have Bike Auction and other events be break-even</t>
        </r>
      </text>
    </comment>
    <comment ref="J20" authorId="0" shapeId="0" xr:uid="{00000000-0006-0000-1500-000007000000}">
      <text>
        <r>
          <rPr>
            <b/>
            <sz val="9"/>
            <color indexed="81"/>
            <rFont val="Tahoma"/>
            <charset val="1"/>
          </rPr>
          <t>Windows User:</t>
        </r>
        <r>
          <rPr>
            <sz val="9"/>
            <color indexed="81"/>
            <rFont val="Tahoma"/>
            <charset val="1"/>
          </rPr>
          <t xml:space="preserve">
 Rows 20-23 adjusted for Fall and Winter only</t>
        </r>
      </text>
    </comment>
    <comment ref="J24" authorId="0" shapeId="0" xr:uid="{00000000-0006-0000-1500-000008000000}">
      <text>
        <r>
          <rPr>
            <b/>
            <sz val="9"/>
            <color indexed="81"/>
            <rFont val="Tahoma"/>
            <charset val="1"/>
          </rPr>
          <t>Windows User:</t>
        </r>
        <r>
          <rPr>
            <sz val="9"/>
            <color indexed="81"/>
            <rFont val="Tahoma"/>
            <charset val="1"/>
          </rPr>
          <t xml:space="preserve">
Adjusted for Fall only</t>
        </r>
      </text>
    </comment>
    <comment ref="C25" authorId="1" shapeId="0" xr:uid="{00000000-0006-0000-1500-000009000000}">
      <text>
        <r>
          <rPr>
            <b/>
            <sz val="9"/>
            <color indexed="81"/>
            <rFont val="Tahoma"/>
            <family val="2"/>
          </rPr>
          <t>Maaz Yasin:</t>
        </r>
        <r>
          <rPr>
            <sz val="9"/>
            <color indexed="81"/>
            <rFont val="Tahoma"/>
            <family val="2"/>
          </rPr>
          <t xml:space="preserve">
Acquire external sponsorships or put Bike rental program on hold for this year until Bike Centre is well established</t>
        </r>
      </text>
    </comment>
    <comment ref="J26" authorId="0" shapeId="0" xr:uid="{00000000-0006-0000-1500-00000A000000}">
      <text>
        <r>
          <rPr>
            <b/>
            <sz val="9"/>
            <color indexed="81"/>
            <rFont val="Tahoma"/>
            <charset val="1"/>
          </rPr>
          <t>Windows User:</t>
        </r>
        <r>
          <rPr>
            <sz val="9"/>
            <color indexed="81"/>
            <rFont val="Tahoma"/>
            <charset val="1"/>
          </rPr>
          <t xml:space="preserve">
Included in budget report, but not in budget spread 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bdmoggac</author>
    <author>Matt Colphon</author>
    <author>David Collins</author>
    <author>Carly McCready</author>
    <author>Brian Schwan</author>
    <author>Ben Balfour</author>
    <author>s4cook</author>
    <author>Kurt MacMillan</author>
    <author>Windows User</author>
    <author>Kumar Patel</author>
    <author>Danielle Burt</author>
    <author>Benjamin Balfour</author>
    <author>p32patel</author>
    <author>Office 2004 Test Drive User</author>
    <author xml:space="preserve"> </author>
  </authors>
  <commentList>
    <comment ref="C9" authorId="0" shapeId="0" xr:uid="{00000000-0006-0000-0400-000001000000}">
      <text>
        <r>
          <rPr>
            <b/>
            <sz val="8"/>
            <color indexed="81"/>
            <rFont val="Tahoma"/>
            <family val="2"/>
          </rPr>
          <t>bdmoggac:</t>
        </r>
        <r>
          <rPr>
            <sz val="8"/>
            <color indexed="81"/>
            <rFont val="Tahoma"/>
            <family val="2"/>
          </rPr>
          <t xml:space="preserve">
-Increase of 1.9%
-Includes health and dental
</t>
        </r>
      </text>
    </comment>
    <comment ref="E9" authorId="1" shapeId="0" xr:uid="{00000000-0006-0000-0400-000002000000}">
      <text>
        <r>
          <rPr>
            <b/>
            <sz val="8"/>
            <color indexed="81"/>
            <rFont val="Tahoma"/>
            <family val="2"/>
          </rPr>
          <t>Matt Colphon:</t>
        </r>
        <r>
          <rPr>
            <sz val="8"/>
            <color indexed="81"/>
            <rFont val="Tahoma"/>
            <family val="2"/>
          </rPr>
          <t xml:space="preserve">
included CPI increase to previous, need number</t>
        </r>
      </text>
    </comment>
    <comment ref="I9" authorId="2" shapeId="0" xr:uid="{00000000-0006-0000-0400-000003000000}">
      <text>
        <r>
          <rPr>
            <b/>
            <sz val="8"/>
            <color indexed="81"/>
            <rFont val="Tahoma"/>
            <family val="2"/>
          </rPr>
          <t>David Collins:</t>
        </r>
        <r>
          <rPr>
            <sz val="8"/>
            <color indexed="81"/>
            <rFont val="Tahoma"/>
            <family val="2"/>
          </rPr>
          <t xml:space="preserve">
Potential of a 13-month term means that this salary would go up</t>
        </r>
      </text>
    </comment>
    <comment ref="M9" authorId="3" shapeId="0" xr:uid="{00000000-0006-0000-0400-000004000000}">
      <text>
        <r>
          <rPr>
            <b/>
            <sz val="9"/>
            <color indexed="81"/>
            <rFont val="Tahoma"/>
            <family val="2"/>
          </rPr>
          <t>Carly McCready:</t>
        </r>
        <r>
          <rPr>
            <sz val="9"/>
            <color indexed="81"/>
            <rFont val="Tahoma"/>
            <family val="2"/>
          </rPr>
          <t xml:space="preserve">
CPI increase
3877.70 salary 
+ 372.23 benefits
monthly </t>
        </r>
      </text>
    </comment>
    <comment ref="O9" authorId="4" shapeId="0" xr:uid="{00000000-0006-0000-0400-000005000000}">
      <text>
        <r>
          <rPr>
            <b/>
            <sz val="9"/>
            <color indexed="81"/>
            <rFont val="Tahoma"/>
            <family val="2"/>
          </rPr>
          <t>Brian Schwan:</t>
        </r>
        <r>
          <rPr>
            <sz val="9"/>
            <color indexed="81"/>
            <rFont val="Tahoma"/>
            <family val="2"/>
          </rPr>
          <t xml:space="preserve">
cpi increase 1.1%</t>
        </r>
      </text>
    </comment>
    <comment ref="I11" authorId="2" shapeId="0" xr:uid="{00000000-0006-0000-0400-000006000000}">
      <text>
        <r>
          <rPr>
            <b/>
            <sz val="8"/>
            <color indexed="81"/>
            <rFont val="Tahoma"/>
            <family val="2"/>
          </rPr>
          <t>David Collins:</t>
        </r>
        <r>
          <rPr>
            <sz val="8"/>
            <color indexed="81"/>
            <rFont val="Tahoma"/>
            <family val="2"/>
          </rPr>
          <t xml:space="preserve">
Work-Study Exec Assistant
</t>
        </r>
      </text>
    </comment>
    <comment ref="J11" authorId="5" shapeId="0" xr:uid="{00000000-0006-0000-0400-000007000000}">
      <text>
        <r>
          <rPr>
            <b/>
            <sz val="9"/>
            <color indexed="81"/>
            <rFont val="Tahoma"/>
            <family val="2"/>
          </rPr>
          <t>Ben Balfour:</t>
        </r>
        <r>
          <rPr>
            <sz val="9"/>
            <color indexed="81"/>
            <rFont val="Tahoma"/>
            <family val="2"/>
          </rPr>
          <t xml:space="preserve">
Went through Services Salaries</t>
        </r>
      </text>
    </comment>
    <comment ref="C13" authorId="6" shapeId="0" xr:uid="{00000000-0006-0000-0400-000008000000}">
      <text>
        <r>
          <rPr>
            <b/>
            <sz val="8"/>
            <color indexed="81"/>
            <rFont val="Tahoma"/>
            <family val="2"/>
          </rPr>
          <t>s4cook:</t>
        </r>
        <r>
          <rPr>
            <sz val="8"/>
            <color indexed="81"/>
            <rFont val="Tahoma"/>
            <family val="2"/>
          </rPr>
          <t xml:space="preserve">
- increased long distance</t>
        </r>
      </text>
    </comment>
    <comment ref="C14" authorId="0" shapeId="0" xr:uid="{00000000-0006-0000-0400-000009000000}">
      <text>
        <r>
          <rPr>
            <b/>
            <sz val="8"/>
            <color indexed="81"/>
            <rFont val="Tahoma"/>
            <family val="2"/>
          </rPr>
          <t>bdmoggac:</t>
        </r>
        <r>
          <rPr>
            <sz val="8"/>
            <color indexed="81"/>
            <rFont val="Tahoma"/>
            <family val="2"/>
          </rPr>
          <t xml:space="preserve">
$65 a month plus long distance while away</t>
        </r>
      </text>
    </comment>
    <comment ref="S14" authorId="7" shapeId="0" xr:uid="{00000000-0006-0000-0400-00000A000000}">
      <text>
        <r>
          <rPr>
            <b/>
            <sz val="9"/>
            <color indexed="81"/>
            <rFont val="Tahoma"/>
            <family val="2"/>
          </rPr>
          <t>Kurt MacMillan:</t>
        </r>
        <r>
          <rPr>
            <sz val="9"/>
            <color indexed="81"/>
            <rFont val="Tahoma"/>
            <family val="2"/>
          </rPr>
          <t xml:space="preserve">
Alotted $73/month x12 months</t>
        </r>
      </text>
    </comment>
    <comment ref="U14" authorId="8" shapeId="0" xr:uid="{00000000-0006-0000-0400-00000B000000}">
      <text>
        <r>
          <rPr>
            <b/>
            <sz val="9"/>
            <color indexed="81"/>
            <rFont val="Tahoma"/>
            <family val="2"/>
          </rPr>
          <t>Windows User:</t>
        </r>
        <r>
          <rPr>
            <sz val="9"/>
            <color indexed="81"/>
            <rFont val="Tahoma"/>
            <family val="2"/>
          </rPr>
          <t xml:space="preserve">
No cell phone reimbursed</t>
        </r>
      </text>
    </comment>
    <comment ref="E16" authorId="1" shapeId="0" xr:uid="{00000000-0006-0000-0400-00000C000000}">
      <text>
        <r>
          <rPr>
            <b/>
            <sz val="8"/>
            <color indexed="81"/>
            <rFont val="Tahoma"/>
            <family val="2"/>
          </rPr>
          <t>Matt Colphon:</t>
        </r>
        <r>
          <rPr>
            <sz val="8"/>
            <color indexed="81"/>
            <rFont val="Tahoma"/>
            <family val="2"/>
          </rPr>
          <t xml:space="preserve">
includes $50 for student government photocopying</t>
        </r>
      </text>
    </comment>
    <comment ref="G17" authorId="9" shapeId="0" xr:uid="{00000000-0006-0000-0400-00000D000000}">
      <text>
        <r>
          <rPr>
            <b/>
            <sz val="8"/>
            <color indexed="81"/>
            <rFont val="Tahoma"/>
            <family val="2"/>
          </rPr>
          <t>Kumar Patel:</t>
        </r>
        <r>
          <rPr>
            <sz val="8"/>
            <color indexed="81"/>
            <rFont val="Tahoma"/>
            <family val="2"/>
          </rPr>
          <t xml:space="preserve">
Noble: needed for two whiteboards, stapler, and organizing materials.</t>
        </r>
      </text>
    </comment>
    <comment ref="I17" authorId="2" shapeId="0" xr:uid="{00000000-0006-0000-0400-00000E000000}">
      <text>
        <r>
          <rPr>
            <b/>
            <sz val="8"/>
            <color indexed="81"/>
            <rFont val="Tahoma"/>
            <family val="2"/>
          </rPr>
          <t>David Collins:</t>
        </r>
        <r>
          <rPr>
            <sz val="8"/>
            <color indexed="81"/>
            <rFont val="Tahoma"/>
            <family val="2"/>
          </rPr>
          <t xml:space="preserve">
50% reduction because no white-board needed</t>
        </r>
      </text>
    </comment>
    <comment ref="M17" authorId="10" shapeId="0" xr:uid="{00000000-0006-0000-0400-00000F000000}">
      <text>
        <r>
          <rPr>
            <b/>
            <sz val="9"/>
            <color indexed="81"/>
            <rFont val="Tahoma"/>
            <family val="2"/>
          </rPr>
          <t>Danielle Burt:</t>
        </r>
        <r>
          <rPr>
            <sz val="9"/>
            <color indexed="81"/>
            <rFont val="Tahoma"/>
            <family val="2"/>
          </rPr>
          <t xml:space="preserve">
If you need office supplies, or whiteboards, or computer equipment. </t>
        </r>
      </text>
    </comment>
    <comment ref="I18" authorId="2" shapeId="0" xr:uid="{00000000-0006-0000-0400-000010000000}">
      <text>
        <r>
          <rPr>
            <b/>
            <sz val="8"/>
            <color indexed="81"/>
            <rFont val="Tahoma"/>
            <family val="2"/>
          </rPr>
          <t>David Collins:</t>
        </r>
        <r>
          <rPr>
            <sz val="8"/>
            <color indexed="81"/>
            <rFont val="Tahoma"/>
            <family val="2"/>
          </rPr>
          <t xml:space="preserve">
25% reduction</t>
        </r>
      </text>
    </comment>
    <comment ref="K18" authorId="11" shapeId="0" xr:uid="{00000000-0006-0000-0400-000011000000}">
      <text>
        <r>
          <rPr>
            <b/>
            <sz val="9"/>
            <color indexed="81"/>
            <rFont val="Tahoma"/>
            <family val="2"/>
          </rPr>
          <t>Benjamin Balfour:</t>
        </r>
        <r>
          <rPr>
            <sz val="9"/>
            <color indexed="81"/>
            <rFont val="Tahoma"/>
            <family val="2"/>
          </rPr>
          <t xml:space="preserve">
keep 20% remove the rest</t>
        </r>
      </text>
    </comment>
    <comment ref="M18" authorId="10" shapeId="0" xr:uid="{00000000-0006-0000-0400-000012000000}">
      <text>
        <r>
          <rPr>
            <b/>
            <sz val="9"/>
            <color indexed="81"/>
            <rFont val="Tahoma"/>
            <family val="2"/>
          </rPr>
          <t>Danielle Burt:</t>
        </r>
        <r>
          <rPr>
            <sz val="9"/>
            <color indexed="81"/>
            <rFont val="Tahoma"/>
            <family val="2"/>
          </rPr>
          <t xml:space="preserve">
This number is based on my actuals of approx. $700. I gave a slight increase. </t>
        </r>
      </text>
    </comment>
    <comment ref="I19" authorId="2" shapeId="0" xr:uid="{00000000-0006-0000-0400-000013000000}">
      <text>
        <r>
          <rPr>
            <b/>
            <sz val="8"/>
            <color indexed="81"/>
            <rFont val="Tahoma"/>
            <family val="2"/>
          </rPr>
          <t>David Collins:</t>
        </r>
        <r>
          <rPr>
            <sz val="8"/>
            <color indexed="81"/>
            <rFont val="Tahoma"/>
            <family val="2"/>
          </rPr>
          <t xml:space="preserve">
20% raise</t>
        </r>
      </text>
    </comment>
    <comment ref="M19" authorId="10" shapeId="0" xr:uid="{00000000-0006-0000-0400-000014000000}">
      <text>
        <r>
          <rPr>
            <b/>
            <sz val="9"/>
            <color indexed="81"/>
            <rFont val="Tahoma"/>
            <family val="2"/>
          </rPr>
          <t>Danielle Burt:</t>
        </r>
        <r>
          <rPr>
            <sz val="9"/>
            <color indexed="81"/>
            <rFont val="Tahoma"/>
            <family val="2"/>
          </rPr>
          <t xml:space="preserve">
Based on my actuals. </t>
        </r>
      </text>
    </comment>
    <comment ref="O19" authorId="4" shapeId="0" xr:uid="{00000000-0006-0000-0400-000015000000}">
      <text>
        <r>
          <rPr>
            <b/>
            <sz val="9"/>
            <color indexed="81"/>
            <rFont val="Tahoma"/>
            <family val="2"/>
          </rPr>
          <t>Brian Schwan:</t>
        </r>
        <r>
          <rPr>
            <sz val="9"/>
            <color indexed="81"/>
            <rFont val="Tahoma"/>
            <family val="2"/>
          </rPr>
          <t xml:space="preserve">
due too not going to SUDS
</t>
        </r>
      </text>
    </comment>
    <comment ref="C20" authorId="0" shapeId="0" xr:uid="{00000000-0006-0000-0400-000016000000}">
      <text>
        <r>
          <rPr>
            <b/>
            <sz val="8"/>
            <color indexed="81"/>
            <rFont val="Tahoma"/>
            <family val="2"/>
          </rPr>
          <t>bdmoggac:</t>
        </r>
        <r>
          <rPr>
            <sz val="8"/>
            <color indexed="81"/>
            <rFont val="Tahoma"/>
            <family val="2"/>
          </rPr>
          <t xml:space="preserve">
Accounts for fees paid to external consultant Ron Gourlay, as well as the final development of the LRP</t>
        </r>
      </text>
    </comment>
    <comment ref="I20" authorId="2" shapeId="0" xr:uid="{00000000-0006-0000-0400-000017000000}">
      <text>
        <r>
          <rPr>
            <b/>
            <sz val="8"/>
            <color indexed="81"/>
            <rFont val="Tahoma"/>
            <family val="2"/>
          </rPr>
          <t>David Collins:</t>
        </r>
        <r>
          <rPr>
            <sz val="8"/>
            <color indexed="81"/>
            <rFont val="Tahoma"/>
            <family val="2"/>
          </rPr>
          <t xml:space="preserve">
Assuming a strategic plan consultant necessary + consultations</t>
        </r>
      </text>
    </comment>
    <comment ref="K20" authorId="11" shapeId="0" xr:uid="{00000000-0006-0000-0400-000018000000}">
      <text>
        <r>
          <rPr>
            <b/>
            <sz val="9"/>
            <color indexed="81"/>
            <rFont val="Tahoma"/>
            <family val="2"/>
          </rPr>
          <t>Benjamin Balfour:</t>
        </r>
        <r>
          <rPr>
            <sz val="9"/>
            <color indexed="81"/>
            <rFont val="Tahoma"/>
            <family val="2"/>
          </rPr>
          <t xml:space="preserve">
Should have 80% of the 15000 because the LRP is only 20% complete.  20% spent in 13/14</t>
        </r>
      </text>
    </comment>
    <comment ref="U20" authorId="8" shapeId="0" xr:uid="{00000000-0006-0000-0400-000019000000}">
      <text>
        <r>
          <rPr>
            <b/>
            <sz val="9"/>
            <color indexed="81"/>
            <rFont val="Tahoma"/>
            <family val="2"/>
          </rPr>
          <t>Windows User:</t>
        </r>
        <r>
          <rPr>
            <sz val="9"/>
            <color indexed="81"/>
            <rFont val="Tahoma"/>
            <family val="2"/>
          </rPr>
          <t xml:space="preserve">
LRP costing approved by the Board</t>
        </r>
      </text>
    </comment>
    <comment ref="C22" authorId="0" shapeId="0" xr:uid="{00000000-0006-0000-0400-00001A000000}">
      <text>
        <r>
          <rPr>
            <sz val="8"/>
            <color indexed="81"/>
            <rFont val="Tahoma"/>
            <family val="2"/>
          </rPr>
          <t xml:space="preserve">- surveys
- arch lunch
</t>
        </r>
      </text>
    </comment>
    <comment ref="E22" authorId="12" shapeId="0" xr:uid="{00000000-0006-0000-0400-00001B000000}">
      <text>
        <r>
          <rPr>
            <b/>
            <sz val="8"/>
            <color indexed="81"/>
            <rFont val="Tahoma"/>
            <family val="2"/>
          </rPr>
          <t>p32patel:</t>
        </r>
        <r>
          <rPr>
            <sz val="8"/>
            <color indexed="81"/>
            <rFont val="Tahoma"/>
            <family val="2"/>
          </rPr>
          <t xml:space="preserve">
3600 orientation food fed hall</t>
        </r>
      </text>
    </comment>
    <comment ref="G22" authorId="9" shapeId="0" xr:uid="{00000000-0006-0000-0400-00001C000000}">
      <text>
        <r>
          <rPr>
            <b/>
            <sz val="8"/>
            <color indexed="81"/>
            <rFont val="Tahoma"/>
            <family val="2"/>
          </rPr>
          <t>Kumar Patel:</t>
        </r>
        <r>
          <rPr>
            <sz val="8"/>
            <color indexed="81"/>
            <rFont val="Tahoma"/>
            <family val="2"/>
          </rPr>
          <t xml:space="preserve">
Noble: mostly new student building proposal costs &amp; information sharing for the referendum, plus governance review. </t>
        </r>
      </text>
    </comment>
    <comment ref="I22" authorId="2" shapeId="0" xr:uid="{00000000-0006-0000-0400-00001D000000}">
      <text>
        <r>
          <rPr>
            <b/>
            <sz val="8"/>
            <color indexed="81"/>
            <rFont val="Tahoma"/>
            <family val="2"/>
          </rPr>
          <t>David Collins:</t>
        </r>
        <r>
          <rPr>
            <sz val="8"/>
            <color indexed="81"/>
            <rFont val="Tahoma"/>
            <family val="2"/>
          </rPr>
          <t xml:space="preserve">
Reduction owing to massive cost of LRP. Includes ability for me to pay people for research inquiries into various topics (rate tbd: probably a per project rate as opposed to a per hour rate) as well as costs of publications for things and the cost of researching things as well.</t>
        </r>
      </text>
    </comment>
    <comment ref="U22" authorId="8" shapeId="0" xr:uid="{00000000-0006-0000-0400-00001E000000}">
      <text>
        <r>
          <rPr>
            <b/>
            <sz val="9"/>
            <color indexed="81"/>
            <rFont val="Tahoma"/>
            <family val="2"/>
          </rPr>
          <t>Windows User:</t>
        </r>
        <r>
          <rPr>
            <sz val="9"/>
            <color indexed="81"/>
            <rFont val="Tahoma"/>
            <family val="2"/>
          </rPr>
          <t xml:space="preserve">
Transferred $2000 to Director of Campus Life for processing Events forms and Society event planning.</t>
        </r>
      </text>
    </comment>
    <comment ref="C28" authorId="13" shapeId="0" xr:uid="{00000000-0006-0000-0400-00001F000000}">
      <text>
        <r>
          <rPr>
            <b/>
            <sz val="9"/>
            <color indexed="81"/>
            <rFont val="Arial"/>
            <family val="2"/>
          </rPr>
          <t>Office 2004 Test Drive User:</t>
        </r>
        <r>
          <rPr>
            <sz val="9"/>
            <color indexed="81"/>
            <rFont val="Arial"/>
            <family val="2"/>
          </rPr>
          <t xml:space="preserve">
- long range planning retreat and transition retreat </t>
        </r>
      </text>
    </comment>
    <comment ref="M28" authorId="10" shapeId="0" xr:uid="{00000000-0006-0000-0400-000020000000}">
      <text>
        <r>
          <rPr>
            <b/>
            <sz val="9"/>
            <color indexed="81"/>
            <rFont val="Tahoma"/>
            <family val="2"/>
          </rPr>
          <t>Danielle Burt:</t>
        </r>
        <r>
          <rPr>
            <sz val="9"/>
            <color indexed="81"/>
            <rFont val="Tahoma"/>
            <family val="2"/>
          </rPr>
          <t xml:space="preserve">
$2000 ongoing for university training program and an additional $1000 for MH 
special projects </t>
        </r>
      </text>
    </comment>
    <comment ref="I29" authorId="2" shapeId="0" xr:uid="{00000000-0006-0000-0400-000021000000}">
      <text>
        <r>
          <rPr>
            <b/>
            <sz val="8"/>
            <color indexed="81"/>
            <rFont val="Tahoma"/>
            <family val="2"/>
          </rPr>
          <t>David Collins:</t>
        </r>
        <r>
          <rPr>
            <sz val="8"/>
            <color indexed="81"/>
            <rFont val="Tahoma"/>
            <family val="2"/>
          </rPr>
          <t xml:space="preserve">
25% reduction</t>
        </r>
      </text>
    </comment>
    <comment ref="O31" authorId="4" shapeId="0" xr:uid="{00000000-0006-0000-0400-000022000000}">
      <text>
        <r>
          <rPr>
            <b/>
            <sz val="9"/>
            <color indexed="81"/>
            <rFont val="Tahoma"/>
            <family val="2"/>
          </rPr>
          <t>Brian Schwan:</t>
        </r>
        <r>
          <rPr>
            <sz val="9"/>
            <color indexed="81"/>
            <rFont val="Tahoma"/>
            <family val="2"/>
          </rPr>
          <t xml:space="preserve">
500 each + tax</t>
        </r>
      </text>
    </comment>
    <comment ref="S31" authorId="7" shapeId="0" xr:uid="{00000000-0006-0000-0400-000023000000}">
      <text>
        <r>
          <rPr>
            <b/>
            <sz val="9"/>
            <color indexed="81"/>
            <rFont val="Tahoma"/>
            <family val="2"/>
          </rPr>
          <t>Kurt MacMillan:</t>
        </r>
        <r>
          <rPr>
            <sz val="9"/>
            <color indexed="81"/>
            <rFont val="Tahoma"/>
            <family val="2"/>
          </rPr>
          <t xml:space="preserve">
$500 each + tax</t>
        </r>
      </text>
    </comment>
    <comment ref="U31" authorId="8" shapeId="0" xr:uid="{00000000-0006-0000-0400-000024000000}">
      <text>
        <r>
          <rPr>
            <b/>
            <sz val="9"/>
            <color indexed="81"/>
            <rFont val="Tahoma"/>
            <family val="2"/>
          </rPr>
          <t>Windows User:</t>
        </r>
        <r>
          <rPr>
            <sz val="9"/>
            <color indexed="81"/>
            <rFont val="Tahoma"/>
            <family val="2"/>
          </rPr>
          <t xml:space="preserve">
Reduced to only cover costs for incoming executive transition, outgoing executives will not receive transition honoraria.</t>
        </r>
      </text>
    </comment>
    <comment ref="I32" authorId="2" shapeId="0" xr:uid="{00000000-0006-0000-0400-000025000000}">
      <text>
        <r>
          <rPr>
            <b/>
            <sz val="8"/>
            <color indexed="81"/>
            <rFont val="Tahoma"/>
            <family val="2"/>
          </rPr>
          <t>David Collins:</t>
        </r>
        <r>
          <rPr>
            <sz val="8"/>
            <color indexed="81"/>
            <rFont val="Tahoma"/>
            <family val="2"/>
          </rPr>
          <t xml:space="preserve">
25% reduction</t>
        </r>
      </text>
    </comment>
    <comment ref="B33" authorId="14" shapeId="0" xr:uid="{00000000-0006-0000-0400-000026000000}">
      <text>
        <r>
          <rPr>
            <b/>
            <sz val="8"/>
            <color indexed="81"/>
            <rFont val="Tahoma"/>
            <family val="2"/>
          </rPr>
          <t>clam : honoraira for stage manager</t>
        </r>
        <r>
          <rPr>
            <sz val="8"/>
            <color indexed="81"/>
            <rFont val="Tahoma"/>
            <family val="2"/>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Carly McCready</author>
    <author>Kurt MacMillan</author>
    <author>Windows User</author>
  </authors>
  <commentList>
    <comment ref="G8" authorId="0" shapeId="0" xr:uid="{00000000-0006-0000-1600-000001000000}">
      <text>
        <r>
          <rPr>
            <b/>
            <sz val="9"/>
            <color indexed="81"/>
            <rFont val="Tahoma"/>
            <family val="2"/>
          </rPr>
          <t>Carly McCready:</t>
        </r>
        <r>
          <rPr>
            <sz val="9"/>
            <color indexed="81"/>
            <rFont val="Tahoma"/>
            <family val="2"/>
          </rPr>
          <t xml:space="preserve">
From where?</t>
        </r>
      </text>
    </comment>
    <comment ref="K30" authorId="1" shapeId="0" xr:uid="{00000000-0006-0000-1600-000002000000}">
      <text>
        <r>
          <rPr>
            <b/>
            <sz val="9"/>
            <color indexed="81"/>
            <rFont val="Tahoma"/>
            <family val="2"/>
          </rPr>
          <t>Kurt MacMillan:</t>
        </r>
        <r>
          <rPr>
            <sz val="9"/>
            <color indexed="81"/>
            <rFont val="Tahoma"/>
            <family val="2"/>
          </rPr>
          <t xml:space="preserve">
Used at Babble Café and Cultural Connections biweekly</t>
        </r>
      </text>
    </comment>
    <comment ref="L30" authorId="2" shapeId="0" xr:uid="{00000000-0006-0000-1600-000003000000}">
      <text>
        <r>
          <rPr>
            <b/>
            <sz val="9"/>
            <color indexed="81"/>
            <rFont val="Tahoma"/>
            <family val="2"/>
          </rPr>
          <t>Windows User:</t>
        </r>
        <r>
          <rPr>
            <sz val="9"/>
            <color indexed="81"/>
            <rFont val="Tahoma"/>
            <family val="2"/>
          </rPr>
          <t xml:space="preserve">
To go up by $1200 approx. due to late invoices received from GSA.</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Kurt MacMillan</author>
    <author>Maaz Yasin</author>
  </authors>
  <commentList>
    <comment ref="I18" authorId="0" shapeId="0" xr:uid="{00000000-0006-0000-1700-000001000000}">
      <text>
        <r>
          <rPr>
            <b/>
            <sz val="9"/>
            <color indexed="81"/>
            <rFont val="Tahoma"/>
            <family val="2"/>
          </rPr>
          <t>Kurt MacMillan:</t>
        </r>
        <r>
          <rPr>
            <sz val="9"/>
            <color indexed="81"/>
            <rFont val="Tahoma"/>
            <family val="2"/>
          </rPr>
          <t xml:space="preserve">
Used for off-campus events in different cities
</t>
        </r>
      </text>
    </comment>
    <comment ref="C19" authorId="1" shapeId="0" xr:uid="{00000000-0006-0000-1700-000002000000}">
      <text>
        <r>
          <rPr>
            <b/>
            <sz val="9"/>
            <color indexed="81"/>
            <rFont val="Tahoma"/>
            <family val="2"/>
          </rPr>
          <t>Maaz Yasin:</t>
        </r>
        <r>
          <rPr>
            <sz val="9"/>
            <color indexed="81"/>
            <rFont val="Tahoma"/>
            <family val="2"/>
          </rPr>
          <t xml:space="preserve">
Travel only to GTA. Apply for points if additional travel is essential</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Kurt MacMillan</author>
    <author>Carly McCready</author>
    <author>Maaz Yasin</author>
    <author>Windows User</author>
  </authors>
  <commentList>
    <comment ref="I10" authorId="0" shapeId="0" xr:uid="{00000000-0006-0000-1800-000001000000}">
      <text>
        <r>
          <rPr>
            <b/>
            <sz val="9"/>
            <color indexed="81"/>
            <rFont val="Tahoma"/>
            <family val="2"/>
          </rPr>
          <t>Kurt MacMillan:</t>
        </r>
        <r>
          <rPr>
            <sz val="9"/>
            <color indexed="81"/>
            <rFont val="Tahoma"/>
            <family val="2"/>
          </rPr>
          <t xml:space="preserve">
3 execs x 3 terms x $30 = $270
9 general volunteers x 3 terms x $10 = $270 
</t>
        </r>
      </text>
    </comment>
    <comment ref="C15" authorId="1" shapeId="0" xr:uid="{00000000-0006-0000-1800-000002000000}">
      <text>
        <r>
          <rPr>
            <b/>
            <sz val="9"/>
            <color indexed="81"/>
            <rFont val="Tahoma"/>
            <family val="2"/>
          </rPr>
          <t>Carly McCready:</t>
        </r>
        <r>
          <rPr>
            <sz val="9"/>
            <color indexed="81"/>
            <rFont val="Tahoma"/>
            <family val="2"/>
          </rPr>
          <t xml:space="preserve">
software costs</t>
        </r>
      </text>
    </comment>
    <comment ref="I17" authorId="0" shapeId="0" xr:uid="{00000000-0006-0000-1800-000003000000}">
      <text>
        <r>
          <rPr>
            <b/>
            <sz val="9"/>
            <color indexed="81"/>
            <rFont val="Tahoma"/>
            <family val="2"/>
          </rPr>
          <t>Kurt MacMillan:</t>
        </r>
        <r>
          <rPr>
            <sz val="9"/>
            <color indexed="81"/>
            <rFont val="Tahoma"/>
            <family val="2"/>
          </rPr>
          <t xml:space="preserve">
$600 billed from prev year will go here as there was a late payment, with $600 from this year and then $300 for Volunteer Action Centre</t>
        </r>
      </text>
    </comment>
    <comment ref="C18" authorId="2" shapeId="0" xr:uid="{00000000-0006-0000-1800-000004000000}">
      <text>
        <r>
          <rPr>
            <b/>
            <sz val="9"/>
            <color indexed="81"/>
            <rFont val="Tahoma"/>
            <family val="2"/>
          </rPr>
          <t>Maaz Yasin:</t>
        </r>
        <r>
          <rPr>
            <sz val="9"/>
            <color indexed="81"/>
            <rFont val="Tahoma"/>
            <family val="2"/>
          </rPr>
          <t xml:space="preserve">
Acquire sponsorships from community partners. </t>
        </r>
      </text>
    </comment>
    <comment ref="J19" authorId="3" shapeId="0" xr:uid="{00000000-0006-0000-1800-000005000000}">
      <text>
        <r>
          <rPr>
            <b/>
            <sz val="9"/>
            <color indexed="81"/>
            <rFont val="Tahoma"/>
            <charset val="1"/>
          </rPr>
          <t>Windows User:</t>
        </r>
        <r>
          <rPr>
            <sz val="9"/>
            <color indexed="81"/>
            <rFont val="Tahoma"/>
            <charset val="1"/>
          </rPr>
          <t xml:space="preserve">
Costs of wind-up. Last effective term of operation was Spring. Website will be managed until LEADS replacement is up. Website will start redirecting to wusa.ca/opportunities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Kurt MacMillan</author>
  </authors>
  <commentList>
    <comment ref="G10" authorId="0" shapeId="0" xr:uid="{00000000-0006-0000-1900-000001000000}">
      <text>
        <r>
          <rPr>
            <b/>
            <sz val="9"/>
            <color indexed="81"/>
            <rFont val="Tahoma"/>
            <family val="2"/>
          </rPr>
          <t>Kurt MacMillan:</t>
        </r>
        <r>
          <rPr>
            <sz val="9"/>
            <color indexed="81"/>
            <rFont val="Tahoma"/>
            <family val="2"/>
          </rPr>
          <t xml:space="preserve">
Spring 2018
 Executives:  5 x 30 = 150
 Volunteers: 10 x 10 = 100
 Total Spring 2018: 150 + 100 = 250 
Fall 2018
 Executives:  7 x 30 = 210
 Volunteers: 15 x 10 = 150
 Orientation Leaders: 10 x 10 = 100
 Total Fall 2018: 210 + 150 + 100 = 460 
Winter 2019
 Executives:  7 x 30 = 210
 Volunteers: 15 x 10 = 150
 Total Winter 2019: 210 + 150 = 360 
Total Volunteer Appreciation Budget: 250 + 460 + 360 = 1,070
</t>
        </r>
      </text>
    </comment>
    <comment ref="G15" authorId="0" shapeId="0" xr:uid="{00000000-0006-0000-1900-000002000000}">
      <text>
        <r>
          <rPr>
            <b/>
            <sz val="9"/>
            <color indexed="81"/>
            <rFont val="Tahoma"/>
            <family val="2"/>
          </rPr>
          <t>Kurt MacMillan:</t>
        </r>
        <r>
          <rPr>
            <sz val="9"/>
            <color indexed="81"/>
            <rFont val="Tahoma"/>
            <family val="2"/>
          </rPr>
          <t xml:space="preserve">
Used for varsity games, warrior week, summerfest and relay for life</t>
        </r>
      </text>
    </comment>
    <comment ref="G16" authorId="0" shapeId="0" xr:uid="{00000000-0006-0000-1900-000003000000}">
      <text>
        <r>
          <rPr>
            <b/>
            <sz val="9"/>
            <color indexed="81"/>
            <rFont val="Tahoma"/>
            <family val="2"/>
          </rPr>
          <t xml:space="preserve">Kurt MacMillan:
</t>
        </r>
        <r>
          <rPr>
            <sz val="9"/>
            <color indexed="81"/>
            <rFont val="Tahoma"/>
            <family val="2"/>
          </rPr>
          <t>Tshirts, refreshments, paint etc for orientation involvement</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Kurt MacMillan</author>
  </authors>
  <commentList>
    <comment ref="G10" authorId="0" shapeId="0" xr:uid="{00000000-0006-0000-1A00-000001000000}">
      <text>
        <r>
          <rPr>
            <b/>
            <sz val="9"/>
            <color indexed="81"/>
            <rFont val="Tahoma"/>
            <family val="2"/>
          </rPr>
          <t>Kurt MacMillan:</t>
        </r>
        <r>
          <rPr>
            <sz val="9"/>
            <color indexed="81"/>
            <rFont val="Tahoma"/>
            <family val="2"/>
          </rPr>
          <t xml:space="preserve">
• Volunteer Appreciation: 2930.00
o Spring 2018
 35 Volunteers X 20
 7 Exec X 30
 $910.00 Total
o Fall 2018
 40 Volunteers X 20
 7 Exec X30
 10 Ambassadors X 10
 $1110.00
o Winter 2018
 40 Volunteers X 20
 7 Exec X30
 10 Ambassadors X 10
 $1110.00
o Total: $3130.00
</t>
        </r>
      </text>
    </comment>
    <comment ref="G14" authorId="0" shapeId="0" xr:uid="{00000000-0006-0000-1A00-000002000000}">
      <text>
        <r>
          <rPr>
            <b/>
            <sz val="9"/>
            <color indexed="81"/>
            <rFont val="Tahoma"/>
            <family val="2"/>
          </rPr>
          <t>Kurt MacMillan:</t>
        </r>
        <r>
          <rPr>
            <sz val="9"/>
            <color indexed="81"/>
            <rFont val="Tahoma"/>
            <family val="2"/>
          </rPr>
          <t xml:space="preserve">
Covers food and supplies for 3 training sessions</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E6" authorId="0" shapeId="0" xr:uid="{00000000-0006-0000-1B00-000001000000}">
      <text>
        <r>
          <rPr>
            <b/>
            <sz val="9"/>
            <color indexed="81"/>
            <rFont val="Tahoma"/>
            <charset val="1"/>
          </rPr>
          <t>Windows User:</t>
        </r>
        <r>
          <rPr>
            <sz val="9"/>
            <color indexed="81"/>
            <rFont val="Tahoma"/>
            <charset val="1"/>
          </rPr>
          <t xml:space="preserve">
Endowment Fund support for Xchanges conference. Estimated based on prior year and based on increased number of applications to Edowments across campus.</t>
        </r>
      </text>
    </comment>
    <comment ref="E11" authorId="0" shapeId="0" xr:uid="{00000000-0006-0000-1B00-000002000000}">
      <text>
        <r>
          <rPr>
            <b/>
            <sz val="9"/>
            <color indexed="81"/>
            <rFont val="Tahoma"/>
            <charset val="1"/>
          </rPr>
          <t>Windows User:</t>
        </r>
        <r>
          <rPr>
            <sz val="9"/>
            <color indexed="81"/>
            <rFont val="Tahoma"/>
            <charset val="1"/>
          </rPr>
          <t xml:space="preserve">
Given the increased interest in RAISE, and increased office hours for Fall, the service requires additional volunteers. To accommodate this,  increased # of peer support volunteers to 20, from 15, and #s of non-peer support volunteers to 20, from 10</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p32patel</author>
    <author>Carly McCready</author>
    <author>Kurt MacMillan</author>
    <author>s4cook</author>
    <author>Maaz Yasin</author>
    <author>Natasha Pozega</author>
    <author>Kumar Patel</author>
    <author>Windows User</author>
  </authors>
  <commentList>
    <comment ref="B6" authorId="0" shapeId="0" xr:uid="{00000000-0006-0000-1C00-000001000000}">
      <text>
        <r>
          <rPr>
            <b/>
            <sz val="8"/>
            <color indexed="81"/>
            <rFont val="Tahoma"/>
            <family val="2"/>
          </rPr>
          <t>p32patel:</t>
        </r>
        <r>
          <rPr>
            <sz val="8"/>
            <color indexed="81"/>
            <rFont val="Tahoma"/>
            <family val="2"/>
          </rPr>
          <t xml:space="preserve">
Cash Sponsorships</t>
        </r>
      </text>
    </comment>
    <comment ref="O6" authorId="1" shapeId="0" xr:uid="{00000000-0006-0000-1C00-000002000000}">
      <text>
        <r>
          <rPr>
            <b/>
            <sz val="9"/>
            <color indexed="81"/>
            <rFont val="Tahoma"/>
            <family val="2"/>
          </rPr>
          <t>Carly McCready:</t>
        </r>
        <r>
          <rPr>
            <sz val="9"/>
            <color indexed="81"/>
            <rFont val="Tahoma"/>
            <family val="2"/>
          </rPr>
          <t xml:space="preserve">
I put this under Welcome Week but don't know if this is accurate?</t>
        </r>
      </text>
    </comment>
    <comment ref="S6" authorId="2" shapeId="0" xr:uid="{00000000-0006-0000-1C00-000003000000}">
      <text>
        <r>
          <rPr>
            <b/>
            <sz val="9"/>
            <color indexed="81"/>
            <rFont val="Tahoma"/>
            <family val="2"/>
          </rPr>
          <t>Kurt MacMillan:</t>
        </r>
        <r>
          <rPr>
            <sz val="9"/>
            <color indexed="81"/>
            <rFont val="Tahoma"/>
            <family val="2"/>
          </rPr>
          <t xml:space="preserve">
Reduced due to sponsorship members have gone down however we are taking the year to strategize for further sponsorships in future years</t>
        </r>
      </text>
    </comment>
    <comment ref="C7" authorId="3" shapeId="0" xr:uid="{00000000-0006-0000-1C00-000004000000}">
      <text>
        <r>
          <rPr>
            <b/>
            <sz val="8"/>
            <color indexed="81"/>
            <rFont val="Tahoma"/>
            <family val="2"/>
          </rPr>
          <t>s4cook:</t>
        </r>
        <r>
          <rPr>
            <sz val="8"/>
            <color indexed="81"/>
            <rFont val="Tahoma"/>
            <family val="2"/>
          </rPr>
          <t xml:space="preserve">
- rough numbers, need to check with Cheryl; moved from marketing</t>
        </r>
      </text>
    </comment>
    <comment ref="M14" authorId="4" shapeId="0" xr:uid="{00000000-0006-0000-1C00-000005000000}">
      <text>
        <r>
          <rPr>
            <b/>
            <sz val="9"/>
            <color indexed="81"/>
            <rFont val="Tahoma"/>
            <family val="2"/>
          </rPr>
          <t>Maaz Yasin:</t>
        </r>
        <r>
          <rPr>
            <sz val="9"/>
            <color indexed="81"/>
            <rFont val="Tahoma"/>
            <family val="2"/>
          </rPr>
          <t xml:space="preserve">
Targeting to acquire additional sponsorship over the year</t>
        </r>
      </text>
    </comment>
    <comment ref="C21" authorId="3" shapeId="0" xr:uid="{00000000-0006-0000-1C00-000006000000}">
      <text>
        <r>
          <rPr>
            <b/>
            <sz val="8"/>
            <color indexed="81"/>
            <rFont val="Tahoma"/>
            <family val="2"/>
          </rPr>
          <t>s4cook:</t>
        </r>
        <r>
          <rPr>
            <sz val="8"/>
            <color indexed="81"/>
            <rFont val="Tahoma"/>
            <family val="2"/>
          </rPr>
          <t xml:space="preserve">
- rough numbers, need to check with Cheryl; moved from marketing</t>
        </r>
      </text>
    </comment>
    <comment ref="K30" authorId="5" shapeId="0" xr:uid="{00000000-0006-0000-1C00-000007000000}">
      <text>
        <r>
          <rPr>
            <b/>
            <sz val="9"/>
            <color indexed="81"/>
            <rFont val="Tahoma"/>
            <family val="2"/>
          </rPr>
          <t>Natasha Pozega:</t>
        </r>
        <r>
          <rPr>
            <sz val="9"/>
            <color indexed="81"/>
            <rFont val="Tahoma"/>
            <family val="2"/>
          </rPr>
          <t xml:space="preserve">
Budget split into special events, educational programming
</t>
        </r>
      </text>
    </comment>
    <comment ref="C31" authorId="3" shapeId="0" xr:uid="{00000000-0006-0000-1C00-000008000000}">
      <text>
        <r>
          <rPr>
            <b/>
            <sz val="8"/>
            <color indexed="81"/>
            <rFont val="Tahoma"/>
            <family val="2"/>
          </rPr>
          <t>s4cook:</t>
        </r>
        <r>
          <rPr>
            <sz val="8"/>
            <color indexed="81"/>
            <rFont val="Tahoma"/>
            <family val="2"/>
          </rPr>
          <t xml:space="preserve">
- street team
- welcome week team
</t>
        </r>
      </text>
    </comment>
    <comment ref="G31" authorId="6" shapeId="0" xr:uid="{00000000-0006-0000-1C00-000009000000}">
      <text>
        <r>
          <rPr>
            <b/>
            <sz val="8"/>
            <color indexed="81"/>
            <rFont val="Tahoma"/>
            <family val="2"/>
          </rPr>
          <t>Kumar Patel:</t>
        </r>
        <r>
          <rPr>
            <sz val="8"/>
            <color indexed="81"/>
            <rFont val="Tahoma"/>
            <family val="2"/>
          </rPr>
          <t xml:space="preserve">
Matches the services matrix.</t>
        </r>
      </text>
    </comment>
    <comment ref="M37" authorId="4" shapeId="0" xr:uid="{00000000-0006-0000-1C00-00000A000000}">
      <text>
        <r>
          <rPr>
            <b/>
            <sz val="9"/>
            <color indexed="81"/>
            <rFont val="Tahoma"/>
            <family val="2"/>
          </rPr>
          <t>Maaz Yasin:</t>
        </r>
        <r>
          <rPr>
            <sz val="9"/>
            <color indexed="81"/>
            <rFont val="Tahoma"/>
            <family val="2"/>
          </rPr>
          <t xml:space="preserve">
Based on YTD actuals</t>
        </r>
      </text>
    </comment>
    <comment ref="C38" authorId="3" shapeId="0" xr:uid="{00000000-0006-0000-1C00-00000B000000}">
      <text>
        <r>
          <rPr>
            <b/>
            <sz val="8"/>
            <color indexed="81"/>
            <rFont val="Tahoma"/>
            <family val="2"/>
          </rPr>
          <t>s4cook:</t>
        </r>
        <r>
          <rPr>
            <sz val="8"/>
            <color indexed="81"/>
            <rFont val="Tahoma"/>
            <family val="2"/>
          </rPr>
          <t xml:space="preserve">
COCA
</t>
        </r>
      </text>
    </comment>
    <comment ref="G38" authorId="6" shapeId="0" xr:uid="{00000000-0006-0000-1C00-00000C000000}">
      <text>
        <r>
          <rPr>
            <b/>
            <sz val="8"/>
            <color indexed="81"/>
            <rFont val="Tahoma"/>
            <family val="2"/>
          </rPr>
          <t>Kumar Patel:</t>
        </r>
        <r>
          <rPr>
            <sz val="8"/>
            <color indexed="81"/>
            <rFont val="Tahoma"/>
            <family val="2"/>
          </rPr>
          <t xml:space="preserve">
Cost to attend COCA National (Montreal) and Regional (Barrie) conferences.</t>
        </r>
      </text>
    </comment>
    <comment ref="U39" authorId="7" shapeId="0" xr:uid="{00000000-0006-0000-1C00-00000D000000}">
      <text>
        <r>
          <rPr>
            <b/>
            <sz val="9"/>
            <color indexed="81"/>
            <rFont val="Tahoma"/>
            <family val="2"/>
          </rPr>
          <t>Windows User:</t>
        </r>
        <r>
          <rPr>
            <sz val="9"/>
            <color indexed="81"/>
            <rFont val="Tahoma"/>
            <family val="2"/>
          </rPr>
          <t xml:space="preserve">
Cost of membership increased by $50.00</t>
        </r>
      </text>
    </comment>
    <comment ref="C40" authorId="3" shapeId="0" xr:uid="{00000000-0006-0000-1C00-00000E000000}">
      <text>
        <r>
          <rPr>
            <b/>
            <sz val="8"/>
            <color indexed="81"/>
            <rFont val="Tahoma"/>
            <family val="2"/>
          </rPr>
          <t>s4cook:</t>
        </r>
        <r>
          <rPr>
            <sz val="8"/>
            <color indexed="81"/>
            <rFont val="Tahoma"/>
            <family val="2"/>
          </rPr>
          <t xml:space="preserve">
- a lot more larger events this year, currently no budget in marketing
</t>
        </r>
      </text>
    </comment>
    <comment ref="G40" authorId="6" shapeId="0" xr:uid="{00000000-0006-0000-1C00-00000F000000}">
      <text>
        <r>
          <rPr>
            <b/>
            <sz val="8"/>
            <color indexed="81"/>
            <rFont val="Tahoma"/>
            <family val="2"/>
          </rPr>
          <t>Kumar Patel:</t>
        </r>
        <r>
          <rPr>
            <sz val="8"/>
            <color indexed="81"/>
            <rFont val="Tahoma"/>
            <family val="2"/>
          </rPr>
          <t xml:space="preserve">
Moved to marketing budget.</t>
        </r>
      </text>
    </comment>
    <comment ref="G43" authorId="6" shapeId="0" xr:uid="{00000000-0006-0000-1C00-000010000000}">
      <text>
        <r>
          <rPr>
            <b/>
            <sz val="8"/>
            <color indexed="81"/>
            <rFont val="Tahoma"/>
            <family val="2"/>
          </rPr>
          <t>Kumar Patel:</t>
        </r>
        <r>
          <rPr>
            <sz val="8"/>
            <color indexed="81"/>
            <rFont val="Tahoma"/>
            <family val="2"/>
          </rPr>
          <t xml:space="preserve">
Increased emphasis on low- or no-cost programming.</t>
        </r>
      </text>
    </comment>
    <comment ref="S43" authorId="2" shapeId="0" xr:uid="{00000000-0006-0000-1C00-000011000000}">
      <text>
        <r>
          <rPr>
            <b/>
            <sz val="9"/>
            <color indexed="81"/>
            <rFont val="Tahoma"/>
            <family val="2"/>
          </rPr>
          <t>Kurt MacMillan:</t>
        </r>
        <r>
          <rPr>
            <sz val="9"/>
            <color indexed="81"/>
            <rFont val="Tahoma"/>
            <family val="2"/>
          </rPr>
          <t xml:space="preserve">
Decreased to better reflect last year's actuals</t>
        </r>
      </text>
    </comment>
    <comment ref="M45" authorId="4" shapeId="0" xr:uid="{00000000-0006-0000-1C00-000012000000}">
      <text>
        <r>
          <rPr>
            <b/>
            <sz val="9"/>
            <color indexed="81"/>
            <rFont val="Tahoma"/>
            <family val="2"/>
          </rPr>
          <t>Maaz Yasin:</t>
        </r>
        <r>
          <rPr>
            <sz val="9"/>
            <color indexed="81"/>
            <rFont val="Tahoma"/>
            <family val="2"/>
          </rPr>
          <t xml:space="preserve">
No Wonderland trip this year</t>
        </r>
      </text>
    </comment>
    <comment ref="M53" authorId="4" shapeId="0" xr:uid="{00000000-0006-0000-1C00-000013000000}">
      <text>
        <r>
          <rPr>
            <b/>
            <sz val="9"/>
            <color indexed="81"/>
            <rFont val="Tahoma"/>
            <family val="2"/>
          </rPr>
          <t>Maaz Yasin:</t>
        </r>
        <r>
          <rPr>
            <sz val="9"/>
            <color indexed="81"/>
            <rFont val="Tahoma"/>
            <family val="2"/>
          </rPr>
          <t xml:space="preserve">
Not doing a Talent Comp</t>
        </r>
      </text>
    </comment>
    <comment ref="M56" authorId="4" shapeId="0" xr:uid="{00000000-0006-0000-1C00-000014000000}">
      <text>
        <r>
          <rPr>
            <b/>
            <sz val="9"/>
            <color indexed="81"/>
            <rFont val="Tahoma"/>
            <family val="2"/>
          </rPr>
          <t>Maaz Yasin:</t>
        </r>
        <r>
          <rPr>
            <sz val="9"/>
            <color indexed="81"/>
            <rFont val="Tahoma"/>
            <family val="2"/>
          </rPr>
          <t xml:space="preserve">
Part of Wrap Up Week</t>
        </r>
      </text>
    </comment>
    <comment ref="M58" authorId="4" shapeId="0" xr:uid="{00000000-0006-0000-1C00-000015000000}">
      <text>
        <r>
          <rPr>
            <b/>
            <sz val="9"/>
            <color indexed="81"/>
            <rFont val="Tahoma"/>
            <family val="2"/>
          </rPr>
          <t>Maaz Yasin:</t>
        </r>
        <r>
          <rPr>
            <sz val="9"/>
            <color indexed="81"/>
            <rFont val="Tahoma"/>
            <family val="2"/>
          </rPr>
          <t xml:space="preserve">
Focusing on popular events, cutting down on ones that are not</t>
        </r>
      </text>
    </comment>
    <comment ref="M62" authorId="4" shapeId="0" xr:uid="{00000000-0006-0000-1C00-000016000000}">
      <text>
        <r>
          <rPr>
            <b/>
            <sz val="9"/>
            <color indexed="81"/>
            <rFont val="Tahoma"/>
            <family val="2"/>
          </rPr>
          <t>Maaz Yasin:</t>
        </r>
        <r>
          <rPr>
            <sz val="9"/>
            <color indexed="81"/>
            <rFont val="Tahoma"/>
            <family val="2"/>
          </rPr>
          <t xml:space="preserve">
Increased to reflect plans for Fall Welcome Week</t>
        </r>
      </text>
    </comment>
    <comment ref="T62" authorId="7" shapeId="0" xr:uid="{00000000-0006-0000-1C00-000017000000}">
      <text>
        <r>
          <rPr>
            <b/>
            <sz val="9"/>
            <color indexed="81"/>
            <rFont val="Tahoma"/>
            <family val="2"/>
          </rPr>
          <t>Windows User:</t>
        </r>
        <r>
          <rPr>
            <sz val="9"/>
            <color indexed="81"/>
            <rFont val="Tahoma"/>
            <family val="2"/>
          </rPr>
          <t xml:space="preserve">
Events Actuals per event are estimates, events are processed under one account line so total is $78101.14</t>
        </r>
      </text>
    </comment>
    <comment ref="M64" authorId="4" shapeId="0" xr:uid="{00000000-0006-0000-1C00-000018000000}">
      <text>
        <r>
          <rPr>
            <b/>
            <sz val="9"/>
            <color indexed="81"/>
            <rFont val="Tahoma"/>
            <family val="2"/>
          </rPr>
          <t>Maaz Yasin:</t>
        </r>
        <r>
          <rPr>
            <sz val="9"/>
            <color indexed="81"/>
            <rFont val="Tahoma"/>
            <family val="2"/>
          </rPr>
          <t xml:space="preserve">
There won't be P/T staff this year</t>
        </r>
      </text>
    </comment>
    <comment ref="G65" authorId="6" shapeId="0" xr:uid="{00000000-0006-0000-1C00-000019000000}">
      <text>
        <r>
          <rPr>
            <b/>
            <sz val="8"/>
            <color indexed="81"/>
            <rFont val="Tahoma"/>
            <family val="2"/>
          </rPr>
          <t>Kumar Patel:</t>
        </r>
        <r>
          <rPr>
            <sz val="8"/>
            <color indexed="81"/>
            <rFont val="Tahoma"/>
            <family val="2"/>
          </rPr>
          <t xml:space="preserve">
Sending 4 students to COCA Nationals</t>
        </r>
      </text>
    </comment>
    <comment ref="G66" authorId="6" shapeId="0" xr:uid="{00000000-0006-0000-1C00-00001A000000}">
      <text>
        <r>
          <rPr>
            <b/>
            <sz val="8"/>
            <color indexed="81"/>
            <rFont val="Tahoma"/>
            <family val="2"/>
          </rPr>
          <t>Kumar Patel:</t>
        </r>
        <r>
          <rPr>
            <sz val="8"/>
            <color indexed="81"/>
            <rFont val="Tahoma"/>
            <family val="2"/>
          </rPr>
          <t xml:space="preserve">
One student per term for three terms.</t>
        </r>
      </text>
    </comment>
    <comment ref="M68" authorId="4" shapeId="0" xr:uid="{00000000-0006-0000-1C00-00001B000000}">
      <text>
        <r>
          <rPr>
            <b/>
            <sz val="9"/>
            <color indexed="81"/>
            <rFont val="Tahoma"/>
            <family val="2"/>
          </rPr>
          <t>Maaz Yasin:</t>
        </r>
        <r>
          <rPr>
            <sz val="9"/>
            <color indexed="81"/>
            <rFont val="Tahoma"/>
            <family val="2"/>
          </rPr>
          <t xml:space="preserve">
Focus on low-cost popular events (massages, therapy dogs, etc)</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Natasha Pozega</author>
    <author>Kurt MacMillan</author>
  </authors>
  <commentList>
    <comment ref="J6" authorId="0" shapeId="0" xr:uid="{00000000-0006-0000-1D00-000001000000}">
      <text>
        <r>
          <rPr>
            <b/>
            <sz val="9"/>
            <color indexed="81"/>
            <rFont val="Tahoma"/>
            <family val="2"/>
          </rPr>
          <t>Natasha Pozega:</t>
        </r>
        <r>
          <rPr>
            <sz val="9"/>
            <color indexed="81"/>
            <rFont val="Tahoma"/>
            <family val="2"/>
          </rPr>
          <t xml:space="preserve">
Transferred from president's portfolio </t>
        </r>
      </text>
    </comment>
    <comment ref="J15" authorId="0" shapeId="0" xr:uid="{00000000-0006-0000-1D00-000002000000}">
      <text>
        <r>
          <rPr>
            <b/>
            <sz val="9"/>
            <color indexed="81"/>
            <rFont val="Tahoma"/>
            <family val="2"/>
          </rPr>
          <t>Natasha Pozega:</t>
        </r>
        <r>
          <rPr>
            <sz val="9"/>
            <color indexed="81"/>
            <rFont val="Tahoma"/>
            <family val="2"/>
          </rPr>
          <t xml:space="preserve">
Transferred from president's portfolio </t>
        </r>
      </text>
    </comment>
    <comment ref="B22" authorId="1" shapeId="0" xr:uid="{00000000-0006-0000-1D00-000003000000}">
      <text>
        <r>
          <rPr>
            <b/>
            <sz val="9"/>
            <color indexed="81"/>
            <rFont val="Tahoma"/>
            <family val="2"/>
          </rPr>
          <t>Kurt MacMillan:</t>
        </r>
        <r>
          <rPr>
            <sz val="9"/>
            <color indexed="81"/>
            <rFont val="Tahoma"/>
            <family val="2"/>
          </rPr>
          <t xml:space="preserve">
doesn't include all business salaries and Bomber
</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Kumar Patel</author>
    <author>Ben Balfour</author>
    <author>Carly McCready</author>
    <author>Adam Garcia</author>
    <author>Kurt MacMillan</author>
    <author>Windows User</author>
    <author>Office 2004 Test Drive User</author>
    <author>s4cook</author>
    <author>Sarah Wiley</author>
    <author>Brian Schwan</author>
  </authors>
  <commentList>
    <comment ref="G9" authorId="0" shapeId="0" xr:uid="{00000000-0006-0000-1E00-000001000000}">
      <text>
        <r>
          <rPr>
            <b/>
            <sz val="8"/>
            <color indexed="81"/>
            <rFont val="Tahoma"/>
            <family val="2"/>
          </rPr>
          <t>Kumar Patel:</t>
        </r>
        <r>
          <rPr>
            <sz val="8"/>
            <color indexed="81"/>
            <rFont val="Tahoma"/>
            <family val="2"/>
          </rPr>
          <t xml:space="preserve">
10% is to come from GRT Fund Account.</t>
        </r>
      </text>
    </comment>
    <comment ref="N9" authorId="1" shapeId="0" xr:uid="{00000000-0006-0000-1E00-000002000000}">
      <text>
        <r>
          <rPr>
            <b/>
            <sz val="9"/>
            <color indexed="81"/>
            <rFont val="Tahoma"/>
            <family val="2"/>
          </rPr>
          <t>Ben Balfour:</t>
        </r>
        <r>
          <rPr>
            <sz val="9"/>
            <color indexed="81"/>
            <rFont val="Tahoma"/>
            <family val="2"/>
          </rPr>
          <t xml:space="preserve">
7% for UPASS.  Negotiation year</t>
        </r>
      </text>
    </comment>
    <comment ref="P9" authorId="2" shapeId="0" xr:uid="{00000000-0006-0000-1E00-000003000000}">
      <text>
        <r>
          <rPr>
            <b/>
            <sz val="9"/>
            <color indexed="81"/>
            <rFont val="Tahoma"/>
            <family val="2"/>
          </rPr>
          <t>Carly McCready:</t>
        </r>
        <r>
          <rPr>
            <sz val="9"/>
            <color indexed="81"/>
            <rFont val="Tahoma"/>
            <family val="2"/>
          </rPr>
          <t xml:space="preserve">
Increased at 1.1% CPI</t>
        </r>
      </text>
    </comment>
    <comment ref="G11" authorId="0" shapeId="0" xr:uid="{00000000-0006-0000-1E00-000004000000}">
      <text>
        <r>
          <rPr>
            <b/>
            <sz val="8"/>
            <color indexed="81"/>
            <rFont val="Tahoma"/>
            <family val="2"/>
          </rPr>
          <t>Kumar Patel:</t>
        </r>
        <r>
          <rPr>
            <sz val="8"/>
            <color indexed="81"/>
            <rFont val="Tahoma"/>
            <family val="2"/>
          </rPr>
          <t xml:space="preserve">
Co-op student for Fall and Winter terms. $18/hour.</t>
        </r>
      </text>
    </comment>
    <comment ref="I11" authorId="3" shapeId="0" xr:uid="{00000000-0006-0000-1E00-000005000000}">
      <text>
        <r>
          <rPr>
            <b/>
            <sz val="8"/>
            <color indexed="81"/>
            <rFont val="Tahoma"/>
            <family val="2"/>
          </rPr>
          <t>Adam Garcia:</t>
        </r>
        <r>
          <rPr>
            <sz val="8"/>
            <color indexed="81"/>
            <rFont val="Tahoma"/>
            <family val="2"/>
          </rPr>
          <t xml:space="preserve">
$12/hrx20hrs/weekx52weeksx2 p/t staff</t>
        </r>
      </text>
    </comment>
    <comment ref="T11" authorId="4" shapeId="0" xr:uid="{00000000-0006-0000-1E00-000006000000}">
      <text>
        <r>
          <rPr>
            <b/>
            <sz val="9"/>
            <color indexed="81"/>
            <rFont val="Tahoma"/>
            <family val="2"/>
          </rPr>
          <t>Kurt MacMillan:</t>
        </r>
        <r>
          <rPr>
            <sz val="9"/>
            <color indexed="81"/>
            <rFont val="Tahoma"/>
            <family val="2"/>
          </rPr>
          <t xml:space="preserve">
3 commissioners
</t>
        </r>
      </text>
    </comment>
    <comment ref="V11" authorId="5" shapeId="0" xr:uid="{00000000-0006-0000-1E00-000007000000}">
      <text>
        <r>
          <rPr>
            <b/>
            <sz val="9"/>
            <color indexed="81"/>
            <rFont val="Tahoma"/>
            <family val="2"/>
          </rPr>
          <t>Windows User:</t>
        </r>
        <r>
          <rPr>
            <sz val="9"/>
            <color indexed="81"/>
            <rFont val="Tahoma"/>
            <family val="2"/>
          </rPr>
          <t xml:space="preserve">
Winter 2019 GM approved fee increas, which was motivated to support Edu and Gov't Advocacy. This begins in Sept. 2019
Moved to each unit/dept</t>
        </r>
      </text>
    </comment>
    <comment ref="C12" authorId="6" shapeId="0" xr:uid="{00000000-0006-0000-1E00-000008000000}">
      <text>
        <r>
          <rPr>
            <b/>
            <sz val="9"/>
            <color indexed="81"/>
            <rFont val="Arial"/>
            <family val="2"/>
          </rPr>
          <t>Office 2004 Test Drive User:</t>
        </r>
        <r>
          <rPr>
            <sz val="9"/>
            <color indexed="81"/>
            <rFont val="Arial"/>
            <family val="2"/>
          </rPr>
          <t xml:space="preserve">
- new conference phone
</t>
        </r>
      </text>
    </comment>
    <comment ref="P13" authorId="2" shapeId="0" xr:uid="{00000000-0006-0000-1E00-000009000000}">
      <text>
        <r>
          <rPr>
            <b/>
            <sz val="9"/>
            <color indexed="81"/>
            <rFont val="Tahoma"/>
            <family val="2"/>
          </rPr>
          <t>Carly McCready:</t>
        </r>
        <r>
          <rPr>
            <sz val="9"/>
            <color indexed="81"/>
            <rFont val="Tahoma"/>
            <family val="2"/>
          </rPr>
          <t xml:space="preserve">
This was submitted as $0, but this roleis reimbursed for cellphone</t>
        </r>
      </text>
    </comment>
    <comment ref="T13" authorId="4" shapeId="0" xr:uid="{00000000-0006-0000-1E00-00000A000000}">
      <text>
        <r>
          <rPr>
            <b/>
            <sz val="9"/>
            <color indexed="81"/>
            <rFont val="Tahoma"/>
            <family val="2"/>
          </rPr>
          <t>Kurt MacMillan:</t>
        </r>
        <r>
          <rPr>
            <sz val="9"/>
            <color indexed="81"/>
            <rFont val="Tahoma"/>
            <family val="2"/>
          </rPr>
          <t xml:space="preserve">
Alotted $73/month x12 months </t>
        </r>
      </text>
    </comment>
    <comment ref="C17" authorId="7" shapeId="0" xr:uid="{00000000-0006-0000-1E00-00000B000000}">
      <text>
        <r>
          <rPr>
            <b/>
            <sz val="8"/>
            <color indexed="81"/>
            <rFont val="Tahoma"/>
            <family val="2"/>
          </rPr>
          <t>s4cook:</t>
        </r>
        <r>
          <rPr>
            <sz val="8"/>
            <color indexed="81"/>
            <rFont val="Tahoma"/>
            <family val="2"/>
          </rPr>
          <t xml:space="preserve">
- multiple elections, colour me educated
</t>
        </r>
      </text>
    </comment>
    <comment ref="I17" authorId="3" shapeId="0" xr:uid="{00000000-0006-0000-1E00-00000C000000}">
      <text>
        <r>
          <rPr>
            <b/>
            <sz val="8"/>
            <color indexed="81"/>
            <rFont val="Tahoma"/>
            <family val="2"/>
          </rPr>
          <t>Adam Garcia:</t>
        </r>
        <r>
          <rPr>
            <sz val="8"/>
            <color indexed="81"/>
            <rFont val="Tahoma"/>
            <family val="2"/>
          </rPr>
          <t xml:space="preserve">
$40x2/month/Lunches with staff/faculty</t>
        </r>
      </text>
    </comment>
    <comment ref="I18" authorId="3" shapeId="0" xr:uid="{00000000-0006-0000-1E00-00000D000000}">
      <text>
        <r>
          <rPr>
            <b/>
            <sz val="8"/>
            <color indexed="81"/>
            <rFont val="Tahoma"/>
            <family val="2"/>
          </rPr>
          <t>Adam Garcia:</t>
        </r>
        <r>
          <rPr>
            <sz val="8"/>
            <color indexed="81"/>
            <rFont val="Tahoma"/>
            <family val="2"/>
          </rPr>
          <t xml:space="preserve">
Incidental travelling ($100/month)</t>
        </r>
      </text>
    </comment>
    <comment ref="P18" authorId="8" shapeId="0" xr:uid="{00000000-0006-0000-1E00-00000E000000}">
      <text>
        <r>
          <rPr>
            <b/>
            <sz val="9"/>
            <color indexed="81"/>
            <rFont val="Tahoma"/>
            <family val="2"/>
          </rPr>
          <t>Sarah Wiley:</t>
        </r>
        <r>
          <rPr>
            <sz val="9"/>
            <color indexed="81"/>
            <rFont val="Tahoma"/>
            <family val="2"/>
          </rPr>
          <t xml:space="preserve">
Travel to Toronto for OUSA, meetings with government, Ottawa, local travel, etc. </t>
        </r>
      </text>
    </comment>
    <comment ref="T18" authorId="4" shapeId="0" xr:uid="{00000000-0006-0000-1E00-00000F000000}">
      <text>
        <r>
          <rPr>
            <b/>
            <sz val="9"/>
            <color indexed="81"/>
            <rFont val="Tahoma"/>
            <family val="2"/>
          </rPr>
          <t>Kurt MacMillan:</t>
        </r>
        <r>
          <rPr>
            <sz val="9"/>
            <color indexed="81"/>
            <rFont val="Tahoma"/>
            <family val="2"/>
          </rPr>
          <t xml:space="preserve">
Budget decrease due to Matt not being OUSA pres (less travelling)</t>
        </r>
      </text>
    </comment>
    <comment ref="C19" authorId="7" shapeId="0" xr:uid="{00000000-0006-0000-1E00-000010000000}">
      <text>
        <r>
          <rPr>
            <b/>
            <sz val="8"/>
            <color indexed="81"/>
            <rFont val="Tahoma"/>
            <family val="2"/>
          </rPr>
          <t>s4cook:</t>
        </r>
        <r>
          <rPr>
            <sz val="8"/>
            <color indexed="81"/>
            <rFont val="Tahoma"/>
            <family val="2"/>
          </rPr>
          <t xml:space="preserve">
- money for potential municipal and academic commission events
- arch lunch
- exec gear</t>
        </r>
      </text>
    </comment>
    <comment ref="P19" authorId="8" shapeId="0" xr:uid="{00000000-0006-0000-1E00-000011000000}">
      <text>
        <r>
          <rPr>
            <b/>
            <sz val="9"/>
            <color indexed="81"/>
            <rFont val="Tahoma"/>
            <family val="2"/>
          </rPr>
          <t>Sarah Wiley:</t>
        </r>
        <r>
          <rPr>
            <sz val="9"/>
            <color indexed="81"/>
            <rFont val="Tahoma"/>
            <family val="2"/>
          </rPr>
          <t xml:space="preserve">
Federal Advocacy</t>
        </r>
      </text>
    </comment>
    <comment ref="P20" authorId="8" shapeId="0" xr:uid="{00000000-0006-0000-1E00-000012000000}">
      <text>
        <r>
          <rPr>
            <b/>
            <sz val="9"/>
            <color indexed="81"/>
            <rFont val="Tahoma"/>
            <family val="2"/>
          </rPr>
          <t>Sarah Wiley:</t>
        </r>
        <r>
          <rPr>
            <sz val="9"/>
            <color indexed="81"/>
            <rFont val="Tahoma"/>
            <family val="2"/>
          </rPr>
          <t xml:space="preserve">
For events relating to coop, academics, and other student advocacy initiatives. No events coming out of the academic affairs or local affairs budgets anymore. Have hired an events person and intend to do more events than were held in the past. </t>
        </r>
      </text>
    </comment>
    <comment ref="P21" authorId="2" shapeId="0" xr:uid="{00000000-0006-0000-1E00-000013000000}">
      <text>
        <r>
          <rPr>
            <b/>
            <sz val="9"/>
            <color indexed="81"/>
            <rFont val="Tahoma"/>
            <family val="2"/>
          </rPr>
          <t>Carly McCready:</t>
        </r>
        <r>
          <rPr>
            <sz val="9"/>
            <color indexed="81"/>
            <rFont val="Tahoma"/>
            <family val="2"/>
          </rPr>
          <t xml:space="preserve">
Federal Advocacy,mainly travel to Ottawa. Not actually ancillary fees. </t>
        </r>
      </text>
    </comment>
    <comment ref="C25" authorId="7" shapeId="0" xr:uid="{00000000-0006-0000-1E00-000014000000}">
      <text>
        <r>
          <rPr>
            <b/>
            <sz val="8"/>
            <color indexed="81"/>
            <rFont val="Tahoma"/>
            <family val="2"/>
          </rPr>
          <t>s4cook:</t>
        </r>
        <r>
          <rPr>
            <sz val="8"/>
            <color indexed="81"/>
            <rFont val="Tahoma"/>
            <family val="2"/>
          </rPr>
          <t xml:space="preserve">
- government affairs, municipal affairs, academic affairs</t>
        </r>
      </text>
    </comment>
    <comment ref="P26" authorId="9" shapeId="0" xr:uid="{00000000-0006-0000-1E00-000015000000}">
      <text>
        <r>
          <rPr>
            <b/>
            <sz val="9"/>
            <color indexed="81"/>
            <rFont val="Tahoma"/>
            <family val="2"/>
          </rPr>
          <t>Brian Schwan:</t>
        </r>
        <r>
          <rPr>
            <sz val="9"/>
            <color indexed="81"/>
            <rFont val="Tahoma"/>
            <family val="2"/>
          </rPr>
          <t xml:space="preserve">
500 each +tax
</t>
        </r>
      </text>
    </comment>
    <comment ref="S29" authorId="4" shapeId="0" xr:uid="{00000000-0006-0000-1E00-000016000000}">
      <text>
        <r>
          <rPr>
            <b/>
            <sz val="9"/>
            <color indexed="81"/>
            <rFont val="Tahoma"/>
            <family val="2"/>
          </rPr>
          <t>Kurt MacMillan:</t>
        </r>
        <r>
          <rPr>
            <sz val="9"/>
            <color indexed="81"/>
            <rFont val="Tahoma"/>
            <family val="2"/>
          </rPr>
          <t xml:space="preserve">
What's this?</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Adam Garcia</author>
    <author>Benjamin Balfour</author>
    <author>Carly McCready</author>
    <author>Windows User</author>
  </authors>
  <commentList>
    <comment ref="C9" authorId="0" shapeId="0" xr:uid="{00000000-0006-0000-1F00-000001000000}">
      <text>
        <r>
          <rPr>
            <b/>
            <sz val="8"/>
            <color indexed="81"/>
            <rFont val="Tahoma"/>
            <family val="2"/>
          </rPr>
          <t>Adam Garcia:</t>
        </r>
        <r>
          <rPr>
            <sz val="8"/>
            <color indexed="81"/>
            <rFont val="Tahoma"/>
            <family val="2"/>
          </rPr>
          <t xml:space="preserve">
Half the cost of a telephone line (shared with Local Affairs)</t>
        </r>
      </text>
    </comment>
    <comment ref="E9" authorId="1" shapeId="0" xr:uid="{00000000-0006-0000-1F00-000002000000}">
      <text>
        <r>
          <rPr>
            <b/>
            <sz val="9"/>
            <color indexed="81"/>
            <rFont val="Tahoma"/>
            <family val="2"/>
          </rPr>
          <t>Benjamin Balfour:</t>
        </r>
        <r>
          <rPr>
            <sz val="9"/>
            <color indexed="81"/>
            <rFont val="Tahoma"/>
            <family val="2"/>
          </rPr>
          <t xml:space="preserve">
ask Billy if he used it</t>
        </r>
      </text>
    </comment>
    <comment ref="I15" authorId="2" shapeId="0" xr:uid="{00000000-0006-0000-1F00-000003000000}">
      <text>
        <r>
          <rPr>
            <b/>
            <sz val="9"/>
            <color indexed="81"/>
            <rFont val="Tahoma"/>
            <family val="2"/>
          </rPr>
          <t>Carly McCready:</t>
        </r>
        <r>
          <rPr>
            <sz val="9"/>
            <color indexed="81"/>
            <rFont val="Tahoma"/>
            <family val="2"/>
          </rPr>
          <t xml:space="preserve">
Full amount for teaching awards volunteer. Large volunteer position, work in Fall and Winter</t>
        </r>
      </text>
    </comment>
    <comment ref="O16" authorId="3" shapeId="0" xr:uid="{00000000-0006-0000-1F00-000004000000}">
      <text>
        <r>
          <rPr>
            <b/>
            <sz val="9"/>
            <color indexed="81"/>
            <rFont val="Tahoma"/>
            <family val="2"/>
          </rPr>
          <t>Windows User:</t>
        </r>
        <r>
          <rPr>
            <sz val="9"/>
            <color indexed="81"/>
            <rFont val="Tahoma"/>
            <family val="2"/>
          </rPr>
          <t xml:space="preserve">
Winter 2019 GM approved fee increase for advocacy to support Board's adopted plan</t>
        </r>
      </text>
    </comment>
    <comment ref="O22" authorId="3" shapeId="0" xr:uid="{00000000-0006-0000-1F00-000005000000}">
      <text>
        <r>
          <rPr>
            <b/>
            <sz val="9"/>
            <color indexed="81"/>
            <rFont val="Tahoma"/>
            <charset val="1"/>
          </rPr>
          <t>Windows User:</t>
        </r>
        <r>
          <rPr>
            <sz val="9"/>
            <color indexed="81"/>
            <rFont val="Tahoma"/>
            <charset val="1"/>
          </rPr>
          <t xml:space="preserve">
Teaching Awards/Faculty appreciation to highlight successes and thanks to faculty that go above and beyond and deserve recognition by the student association.
Needs to be increased for expansion to each term rather than just Winter term. Requested by Academic Affairs Commissioner</t>
        </r>
      </text>
    </comment>
    <comment ref="E26" authorId="1" shapeId="0" xr:uid="{00000000-0006-0000-1F00-000006000000}">
      <text>
        <r>
          <rPr>
            <b/>
            <sz val="9"/>
            <color indexed="81"/>
            <rFont val="Tahoma"/>
            <family val="2"/>
          </rPr>
          <t>Benjamin Balfour:</t>
        </r>
        <r>
          <rPr>
            <sz val="9"/>
            <color indexed="81"/>
            <rFont val="Tahoma"/>
            <family val="2"/>
          </rPr>
          <t xml:space="preserve">
take VPEDs to a session, will help with society agreements </t>
        </r>
      </text>
    </comment>
    <comment ref="I26" authorId="2" shapeId="0" xr:uid="{00000000-0006-0000-1F00-000007000000}">
      <text>
        <r>
          <rPr>
            <b/>
            <sz val="9"/>
            <color indexed="81"/>
            <rFont val="Tahoma"/>
            <family val="2"/>
          </rPr>
          <t>Carly McCready:</t>
        </r>
        <r>
          <rPr>
            <sz val="9"/>
            <color indexed="81"/>
            <rFont val="Tahoma"/>
            <family val="2"/>
          </rPr>
          <t xml:space="preserve">
Specifically working with their vp eds. Issues with their engagement with academic advocacy in the past, using this money for meetings and food for those members</t>
        </r>
      </text>
    </comment>
    <comment ref="H31" authorId="2" shapeId="0" xr:uid="{00000000-0006-0000-1F00-000008000000}">
      <text>
        <r>
          <rPr>
            <b/>
            <sz val="9"/>
            <color indexed="81"/>
            <rFont val="Tahoma"/>
            <family val="2"/>
          </rPr>
          <t>Carly McCready:</t>
        </r>
        <r>
          <rPr>
            <sz val="9"/>
            <color indexed="81"/>
            <rFont val="Tahoma"/>
            <family val="2"/>
          </rPr>
          <t xml:space="preserve">
Updated - no money spent up to March 16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Collins</author>
    <author>Windows User</author>
    <author>decapper</author>
    <author>s4cook</author>
    <author>Matt Colphon</author>
    <author>Danielle Burt</author>
    <author>Kurt MacMillan</author>
    <author>Chris Neal</author>
    <author>bdmoggac</author>
    <author>Kumar Patel</author>
    <author>Natasha Pozega</author>
  </authors>
  <commentList>
    <comment ref="I10" authorId="0" shapeId="0" xr:uid="{00000000-0006-0000-0500-000001000000}">
      <text>
        <r>
          <rPr>
            <b/>
            <sz val="8"/>
            <color indexed="81"/>
            <rFont val="Tahoma"/>
            <family val="2"/>
          </rPr>
          <t>David Collins:</t>
        </r>
        <r>
          <rPr>
            <sz val="8"/>
            <color indexed="81"/>
            <rFont val="Tahoma"/>
            <family val="2"/>
          </rPr>
          <t xml:space="preserve">
Includes Work-Study student at 12.50$hr for 24 weeks at 10 hours a week, 500$ for supplies, a computer, desk, etc. This student would be the 'secretariat'/'council assistant' to ensure that minutes are done properly, things are formated, and that council has a resource to help them with things. Tentatively named 'Council Assistant'</t>
        </r>
      </text>
    </comment>
    <comment ref="U11" authorId="1" shapeId="0" xr:uid="{00000000-0006-0000-0500-000002000000}">
      <text>
        <r>
          <rPr>
            <b/>
            <sz val="9"/>
            <color indexed="81"/>
            <rFont val="Tahoma"/>
            <charset val="1"/>
          </rPr>
          <t>Windows User:</t>
        </r>
        <r>
          <rPr>
            <sz val="9"/>
            <color indexed="81"/>
            <rFont val="Tahoma"/>
            <charset val="1"/>
          </rPr>
          <t xml:space="preserve">
funding for GEC shared with Elections budget</t>
        </r>
      </text>
    </comment>
    <comment ref="U12" authorId="1" shapeId="0" xr:uid="{00000000-0006-0000-0500-000003000000}">
      <text>
        <r>
          <rPr>
            <b/>
            <sz val="9"/>
            <color indexed="81"/>
            <rFont val="Tahoma"/>
            <charset val="1"/>
          </rPr>
          <t>Windows User:</t>
        </r>
        <r>
          <rPr>
            <sz val="9"/>
            <color indexed="81"/>
            <rFont val="Tahoma"/>
            <charset val="1"/>
          </rPr>
          <t xml:space="preserve">
2x recording Secretaries</t>
        </r>
      </text>
    </comment>
    <comment ref="B13" authorId="2" shapeId="0" xr:uid="{00000000-0006-0000-0500-000004000000}">
      <text>
        <r>
          <rPr>
            <b/>
            <sz val="8"/>
            <color indexed="81"/>
            <rFont val="Tahoma"/>
            <family val="2"/>
          </rPr>
          <t xml:space="preserve">kumar: for the speaker and secretary </t>
        </r>
      </text>
    </comment>
    <comment ref="C13" authorId="3" shapeId="0" xr:uid="{00000000-0006-0000-0500-000005000000}">
      <text>
        <r>
          <rPr>
            <b/>
            <sz val="8"/>
            <color indexed="81"/>
            <rFont val="Tahoma"/>
            <family val="2"/>
          </rPr>
          <t>s4cook:</t>
        </r>
        <r>
          <rPr>
            <sz val="8"/>
            <color indexed="81"/>
            <rFont val="Tahoma"/>
            <family val="2"/>
          </rPr>
          <t xml:space="preserve">
- 10 hours per month x 10 months
</t>
        </r>
      </text>
    </comment>
    <comment ref="E13" authorId="4" shapeId="0" xr:uid="{00000000-0006-0000-0500-000006000000}">
      <text>
        <r>
          <rPr>
            <b/>
            <sz val="9"/>
            <color indexed="81"/>
            <rFont val="Tahoma"/>
            <family val="2"/>
          </rPr>
          <t>kumar:</t>
        </r>
        <r>
          <rPr>
            <sz val="9"/>
            <color indexed="81"/>
            <rFont val="Tahoma"/>
            <family val="2"/>
          </rPr>
          <t xml:space="preserve">
speaker this year is not paid as he is a staff member. Moving forward, speakers should be paid $25/meeting</t>
        </r>
      </text>
    </comment>
    <comment ref="I13" authorId="0" shapeId="0" xr:uid="{00000000-0006-0000-0500-000007000000}">
      <text>
        <r>
          <rPr>
            <b/>
            <sz val="8"/>
            <color indexed="81"/>
            <rFont val="Tahoma"/>
            <family val="2"/>
          </rPr>
          <t>David Collins:</t>
        </r>
        <r>
          <rPr>
            <sz val="8"/>
            <color indexed="81"/>
            <rFont val="Tahoma"/>
            <family val="2"/>
          </rPr>
          <t xml:space="preserve">
Speaker for three terms. Fall $200, Winter $200, Summer $100
</t>
        </r>
      </text>
    </comment>
    <comment ref="M13" authorId="5" shapeId="0" xr:uid="{00000000-0006-0000-0500-000008000000}">
      <text>
        <r>
          <rPr>
            <b/>
            <sz val="9"/>
            <color indexed="81"/>
            <rFont val="Tahoma"/>
            <family val="2"/>
          </rPr>
          <t>Danielle Burt:</t>
        </r>
        <r>
          <rPr>
            <sz val="9"/>
            <color indexed="81"/>
            <rFont val="Tahoma"/>
            <family val="2"/>
          </rPr>
          <t xml:space="preserve">
Speaker for three terms. Fall $200, Winter $200, Summer $100
Board Chair for three terms. Fall $200, Winter $200, Summer $100
</t>
        </r>
        <r>
          <rPr>
            <b/>
            <sz val="9"/>
            <color indexed="81"/>
            <rFont val="Tahoma"/>
            <family val="2"/>
          </rPr>
          <t>Carly:</t>
        </r>
        <r>
          <rPr>
            <sz val="9"/>
            <color indexed="81"/>
            <rFont val="Tahoma"/>
            <family val="2"/>
          </rPr>
          <t xml:space="preserve"> added secretary honorarium</t>
        </r>
      </text>
    </comment>
    <comment ref="S13" authorId="6" shapeId="0" xr:uid="{00000000-0006-0000-0500-000009000000}">
      <text>
        <r>
          <rPr>
            <b/>
            <sz val="9"/>
            <color indexed="81"/>
            <rFont val="Tahoma"/>
            <family val="2"/>
          </rPr>
          <t>Kurt MacMillan:</t>
        </r>
        <r>
          <rPr>
            <sz val="9"/>
            <color indexed="81"/>
            <rFont val="Tahoma"/>
            <family val="2"/>
          </rPr>
          <t xml:space="preserve">
Secretaries - $250/year
Chair - $500/year
Speaker $500/year
Had to add an extra $500 as previous year's speaker did not get paid.</t>
        </r>
      </text>
    </comment>
    <comment ref="B16" authorId="7" shapeId="0" xr:uid="{00000000-0006-0000-0500-00000A000000}">
      <text>
        <r>
          <rPr>
            <b/>
            <sz val="8"/>
            <color indexed="81"/>
            <rFont val="Tahoma"/>
            <family val="2"/>
          </rPr>
          <t>DISCOUNTS:
COUNCIL
FOC
SERVICE COORDS
WTFeds
Society Execs</t>
        </r>
      </text>
    </comment>
    <comment ref="I16" authorId="0" shapeId="0" xr:uid="{00000000-0006-0000-0500-00000B000000}">
      <text>
        <r>
          <rPr>
            <b/>
            <sz val="8"/>
            <color indexed="81"/>
            <rFont val="Tahoma"/>
            <family val="2"/>
          </rPr>
          <t>David Collins:</t>
        </r>
        <r>
          <rPr>
            <sz val="8"/>
            <color indexed="81"/>
            <rFont val="Tahoma"/>
            <family val="2"/>
          </rPr>
          <t xml:space="preserve">
- cut by 25%
- did this include discount cards?</t>
        </r>
      </text>
    </comment>
    <comment ref="I18" authorId="0" shapeId="0" xr:uid="{00000000-0006-0000-0500-00000C000000}">
      <text>
        <r>
          <rPr>
            <b/>
            <sz val="8"/>
            <color indexed="81"/>
            <rFont val="Tahoma"/>
            <family val="2"/>
          </rPr>
          <t>David Collins:</t>
        </r>
        <r>
          <rPr>
            <sz val="8"/>
            <color indexed="81"/>
            <rFont val="Tahoma"/>
            <family val="2"/>
          </rPr>
          <t xml:space="preserve">
3 general meetings, unconferences and policy days</t>
        </r>
      </text>
    </comment>
    <comment ref="C21" authorId="3" shapeId="0" xr:uid="{00000000-0006-0000-0500-00000D000000}">
      <text>
        <r>
          <rPr>
            <b/>
            <sz val="8"/>
            <color indexed="81"/>
            <rFont val="Tahoma"/>
            <family val="2"/>
          </rPr>
          <t>s4cook:</t>
        </r>
        <r>
          <rPr>
            <sz val="8"/>
            <color indexed="81"/>
            <rFont val="Tahoma"/>
            <family val="2"/>
          </rPr>
          <t xml:space="preserve">
- counselor travel</t>
        </r>
      </text>
    </comment>
    <comment ref="C22" authorId="8" shapeId="0" xr:uid="{00000000-0006-0000-0500-00000E000000}">
      <text>
        <r>
          <rPr>
            <b/>
            <sz val="8"/>
            <color indexed="81"/>
            <rFont val="Tahoma"/>
            <family val="2"/>
          </rPr>
          <t>bdmoggac:</t>
        </r>
        <r>
          <rPr>
            <sz val="8"/>
            <color indexed="81"/>
            <rFont val="Tahoma"/>
            <family val="2"/>
          </rPr>
          <t xml:space="preserve">
No clue what we are amortizing? The projector maybe? Also, would we be amortizing our teleconferencing equipment?</t>
        </r>
      </text>
    </comment>
    <comment ref="C23" authorId="8" shapeId="0" xr:uid="{00000000-0006-0000-0500-00000F000000}">
      <text>
        <r>
          <rPr>
            <b/>
            <sz val="8"/>
            <color indexed="81"/>
            <rFont val="Tahoma"/>
            <family val="2"/>
          </rPr>
          <t>bdmoggac:</t>
        </r>
        <r>
          <rPr>
            <sz val="8"/>
            <color indexed="81"/>
            <rFont val="Tahoma"/>
            <family val="2"/>
          </rPr>
          <t xml:space="preserve">
Accounts for 2K for teleconferencing equipment</t>
        </r>
      </text>
    </comment>
    <comment ref="I23" authorId="0" shapeId="0" xr:uid="{00000000-0006-0000-0500-000010000000}">
      <text>
        <r>
          <rPr>
            <b/>
            <sz val="8"/>
            <color indexed="81"/>
            <rFont val="Tahoma"/>
            <family val="2"/>
          </rPr>
          <t>David Collins:</t>
        </r>
        <r>
          <rPr>
            <sz val="8"/>
            <color indexed="81"/>
            <rFont val="Tahoma"/>
            <family val="2"/>
          </rPr>
          <t xml:space="preserve">
Council voted for Board to allot 1000$ at the discretion of the executive vis a vi BoD to spend on advancing the motion passed at the June 9th Council meeting regarding fee increase and the poor communication associated with it</t>
        </r>
      </text>
    </comment>
    <comment ref="M23" authorId="5" shapeId="0" xr:uid="{00000000-0006-0000-0500-000011000000}">
      <text>
        <r>
          <rPr>
            <b/>
            <sz val="9"/>
            <color indexed="81"/>
            <rFont val="Tahoma"/>
            <family val="2"/>
          </rPr>
          <t>Danielle Burt:</t>
        </r>
        <r>
          <rPr>
            <sz val="9"/>
            <color indexed="81"/>
            <rFont val="Tahoma"/>
            <family val="2"/>
          </rPr>
          <t xml:space="preserve">
Can be increased if you feel Council needs this, if yes I recommend additional advertising that this exists </t>
        </r>
      </text>
    </comment>
    <comment ref="U25" authorId="1" shapeId="0" xr:uid="{00000000-0006-0000-0500-000012000000}">
      <text>
        <r>
          <rPr>
            <b/>
            <sz val="9"/>
            <color indexed="81"/>
            <rFont val="Tahoma"/>
            <family val="2"/>
          </rPr>
          <t>Windows User:</t>
        </r>
        <r>
          <rPr>
            <sz val="9"/>
            <color indexed="81"/>
            <rFont val="Tahoma"/>
            <family val="2"/>
          </rPr>
          <t xml:space="preserve">
Paid out to Marketing - Advocacy Budget at approval of President for use for:
The Student Life Endowment Fund has decided to award a maximum of $2,740 to Students’ Council for the purchase of a few specific items in your proposal:
•         10 small A-frames and 20 H-frames
o   The committee believed that replacing all the broken H-frames with more H-frames wouldn’t necessarily fix the issue faced by using H-frames (pushing it into the ground is bound to lead to deforming of the shape). The committee would like to see small A-frames as an alternative to H-frames.
•         5 zap banners – General Feds awareness
o   The committee would like to see these zap banners be general Feds awareness banners, not event specific banners (e.g. Feds General Meeting, Elections, etc.) as the committee believe if we are to invest in new banners they should be broad enough to use in multiple areas of the organization.
•         11 zap banners – Students’ Council Caucus Banners
</t>
        </r>
      </text>
    </comment>
    <comment ref="G27" authorId="9" shapeId="0" xr:uid="{00000000-0006-0000-0500-000013000000}">
      <text>
        <r>
          <rPr>
            <b/>
            <sz val="8"/>
            <color indexed="81"/>
            <rFont val="Tahoma"/>
            <family val="2"/>
          </rPr>
          <t>Kumar Patel:</t>
        </r>
        <r>
          <rPr>
            <sz val="8"/>
            <color indexed="81"/>
            <rFont val="Tahoma"/>
            <family val="2"/>
          </rPr>
          <t xml:space="preserve">
Council Transition (May) plus room for another one day training on campus in the Fall term.</t>
        </r>
      </text>
    </comment>
    <comment ref="I27" authorId="10" shapeId="0" xr:uid="{00000000-0006-0000-0500-000014000000}">
      <text>
        <r>
          <rPr>
            <b/>
            <sz val="8"/>
            <color indexed="81"/>
            <rFont val="Tahoma"/>
            <family val="2"/>
          </rPr>
          <t>Natasha Pozega:</t>
        </r>
        <r>
          <rPr>
            <sz val="8"/>
            <color indexed="81"/>
            <rFont val="Tahoma"/>
            <family val="2"/>
          </rPr>
          <t xml:space="preserve">
Actuals of 12/13 are doubled because 13/14 transition happened during 12/13 fiscal year. Budgeted 6000 for 13/14 year to plan for transition in 14/15 year</t>
        </r>
      </text>
    </comment>
    <comment ref="M27" authorId="5" shapeId="0" xr:uid="{00000000-0006-0000-0500-000015000000}">
      <text>
        <r>
          <rPr>
            <b/>
            <sz val="9"/>
            <color indexed="81"/>
            <rFont val="Tahoma"/>
            <family val="2"/>
          </rPr>
          <t>Danielle Burt:</t>
        </r>
        <r>
          <rPr>
            <sz val="9"/>
            <color indexed="81"/>
            <rFont val="Tahoma"/>
            <family val="2"/>
          </rPr>
          <t xml:space="preserve">
Decresed 25% to be put through on points.</t>
        </r>
      </text>
    </comment>
    <comment ref="M31" authorId="5" shapeId="0" xr:uid="{00000000-0006-0000-0500-000016000000}">
      <text>
        <r>
          <rPr>
            <b/>
            <sz val="9"/>
            <color indexed="81"/>
            <rFont val="Tahoma"/>
            <family val="2"/>
          </rPr>
          <t>Danielle Burt:</t>
        </r>
        <r>
          <rPr>
            <sz val="9"/>
            <color indexed="81"/>
            <rFont val="Tahoma"/>
            <family val="2"/>
          </rPr>
          <t xml:space="preserve">
Introduce a board dedicated transition line</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s4cook</author>
    <author>Kumar Patel</author>
    <author>Carly McCready</author>
    <author>Adam Garcia</author>
    <author>Benjamin Balfour</author>
    <author>Ben Balfour</author>
  </authors>
  <commentList>
    <comment ref="C12" authorId="0" shapeId="0" xr:uid="{00000000-0006-0000-2000-000001000000}">
      <text>
        <r>
          <rPr>
            <b/>
            <sz val="8"/>
            <color indexed="81"/>
            <rFont val="Tahoma"/>
            <family val="2"/>
          </rPr>
          <t>s4cook:</t>
        </r>
        <r>
          <rPr>
            <sz val="8"/>
            <color indexed="81"/>
            <rFont val="Tahoma"/>
            <family val="2"/>
          </rPr>
          <t xml:space="preserve">
- entire committee of students</t>
        </r>
      </text>
    </comment>
    <comment ref="G12" authorId="1" shapeId="0" xr:uid="{00000000-0006-0000-2000-000002000000}">
      <text>
        <r>
          <rPr>
            <b/>
            <sz val="8"/>
            <color indexed="81"/>
            <rFont val="Tahoma"/>
            <family val="2"/>
          </rPr>
          <t>Kumar Patel:</t>
        </r>
        <r>
          <rPr>
            <sz val="8"/>
            <color indexed="81"/>
            <rFont val="Tahoma"/>
            <family val="2"/>
          </rPr>
          <t xml:space="preserve">
$200 honoraria plus end of term dinners.</t>
        </r>
      </text>
    </comment>
    <comment ref="O12" authorId="2" shapeId="0" xr:uid="{00000000-0006-0000-2000-000003000000}">
      <text>
        <r>
          <rPr>
            <b/>
            <sz val="9"/>
            <color indexed="81"/>
            <rFont val="Tahoma"/>
            <family val="2"/>
          </rPr>
          <t>Carly McCready:</t>
        </r>
        <r>
          <rPr>
            <sz val="9"/>
            <color indexed="81"/>
            <rFont val="Tahoma"/>
            <family val="2"/>
          </rPr>
          <t xml:space="preserve">
Not a position. This is part of Sarah's expenses  </t>
        </r>
      </text>
    </comment>
    <comment ref="C14" authorId="0" shapeId="0" xr:uid="{00000000-0006-0000-2000-000004000000}">
      <text>
        <r>
          <rPr>
            <b/>
            <sz val="8"/>
            <color indexed="81"/>
            <rFont val="Tahoma"/>
            <family val="2"/>
          </rPr>
          <t>s4cook:</t>
        </r>
        <r>
          <rPr>
            <sz val="8"/>
            <color indexed="81"/>
            <rFont val="Tahoma"/>
            <family val="2"/>
          </rPr>
          <t xml:space="preserve">
- election get out to vote campaigns for the various elections occurring this year
</t>
        </r>
      </text>
    </comment>
    <comment ref="I14" authorId="3" shapeId="0" xr:uid="{00000000-0006-0000-2000-000005000000}">
      <text>
        <r>
          <rPr>
            <b/>
            <sz val="8"/>
            <color indexed="81"/>
            <rFont val="Tahoma"/>
            <family val="2"/>
          </rPr>
          <t>Adam Garcia:</t>
        </r>
        <r>
          <rPr>
            <sz val="8"/>
            <color indexed="81"/>
            <rFont val="Tahoma"/>
            <family val="2"/>
          </rPr>
          <t xml:space="preserve">
Advertising and promoting for municipal, provincial and federal elections
-Increased awareness to students
</t>
        </r>
      </text>
    </comment>
    <comment ref="K15" authorId="4" shapeId="0" xr:uid="{00000000-0006-0000-2000-000006000000}">
      <text>
        <r>
          <rPr>
            <b/>
            <sz val="9"/>
            <color indexed="81"/>
            <rFont val="Tahoma"/>
            <family val="2"/>
          </rPr>
          <t>Benjamin Balfour:</t>
        </r>
        <r>
          <rPr>
            <sz val="9"/>
            <color indexed="81"/>
            <rFont val="Tahoma"/>
            <family val="2"/>
          </rPr>
          <t xml:space="preserve">
mkting has money set aside as well</t>
        </r>
      </text>
    </comment>
    <comment ref="K16" authorId="5" shapeId="0" xr:uid="{00000000-0006-0000-2000-000007000000}">
      <text>
        <r>
          <rPr>
            <b/>
            <sz val="9"/>
            <color indexed="81"/>
            <rFont val="Tahoma"/>
            <family val="2"/>
          </rPr>
          <t>Ben Balfour:</t>
        </r>
        <r>
          <rPr>
            <sz val="9"/>
            <color indexed="81"/>
            <rFont val="Tahoma"/>
            <family val="2"/>
          </rPr>
          <t xml:space="preserve">
Pizza for debate/other event related expenses may not have been charged.  May have been charged to marketing</t>
        </r>
      </text>
    </comment>
    <comment ref="O16" authorId="2" shapeId="0" xr:uid="{00000000-0006-0000-2000-000008000000}">
      <text>
        <r>
          <rPr>
            <b/>
            <sz val="9"/>
            <color indexed="81"/>
            <rFont val="Tahoma"/>
            <family val="2"/>
          </rPr>
          <t>Carly McCready:</t>
        </r>
        <r>
          <rPr>
            <sz val="9"/>
            <color indexed="81"/>
            <rFont val="Tahoma"/>
            <family val="2"/>
          </rPr>
          <t xml:space="preserve">
Poltics at the pub and other education and social events related to government. Can be done in collaboration with the political clubs</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Benjamin Balfour</author>
    <author>Carly McCready</author>
    <author>Brian Schwan</author>
    <author>Natasha Pozega</author>
    <author>David Collins</author>
  </authors>
  <commentList>
    <comment ref="E9" authorId="0" shapeId="0" xr:uid="{00000000-0006-0000-2100-000001000000}">
      <text>
        <r>
          <rPr>
            <b/>
            <sz val="9"/>
            <color indexed="81"/>
            <rFont val="Tahoma"/>
            <family val="2"/>
          </rPr>
          <t>Benjamin Balfour:</t>
        </r>
        <r>
          <rPr>
            <sz val="9"/>
            <color indexed="81"/>
            <rFont val="Tahoma"/>
            <family val="2"/>
          </rPr>
          <t xml:space="preserve">
did Billy use the phone?</t>
        </r>
      </text>
    </comment>
    <comment ref="I13" authorId="1" shapeId="0" xr:uid="{00000000-0006-0000-2100-000002000000}">
      <text>
        <r>
          <rPr>
            <b/>
            <sz val="9"/>
            <color indexed="81"/>
            <rFont val="Tahoma"/>
            <family val="2"/>
          </rPr>
          <t>Carly McCready:</t>
        </r>
        <r>
          <rPr>
            <sz val="9"/>
            <color indexed="81"/>
            <rFont val="Tahoma"/>
            <family val="2"/>
          </rPr>
          <t xml:space="preserve">
No honarium, only for a specific position under academic, see note there</t>
        </r>
      </text>
    </comment>
    <comment ref="K18" authorId="2" shapeId="0" xr:uid="{00000000-0006-0000-2100-000003000000}">
      <text>
        <r>
          <rPr>
            <b/>
            <sz val="9"/>
            <color indexed="81"/>
            <rFont val="Tahoma"/>
            <family val="2"/>
          </rPr>
          <t>Brian Schwan:</t>
        </r>
        <r>
          <rPr>
            <sz val="9"/>
            <color indexed="81"/>
            <rFont val="Tahoma"/>
            <family val="2"/>
          </rPr>
          <t xml:space="preserve">
local advocacy meetings at city hall- bringing in students not apart of dept
</t>
        </r>
      </text>
    </comment>
    <comment ref="C20" authorId="3" shapeId="0" xr:uid="{00000000-0006-0000-2100-000004000000}">
      <text>
        <r>
          <rPr>
            <b/>
            <sz val="8"/>
            <color indexed="81"/>
            <rFont val="Tahoma"/>
            <family val="2"/>
          </rPr>
          <t>Natasha Pozega:</t>
        </r>
        <r>
          <rPr>
            <sz val="8"/>
            <color indexed="81"/>
            <rFont val="Tahoma"/>
            <family val="2"/>
          </rPr>
          <t xml:space="preserve">
2@$200</t>
        </r>
      </text>
    </comment>
    <comment ref="C21" authorId="3" shapeId="0" xr:uid="{00000000-0006-0000-2100-000005000000}">
      <text>
        <r>
          <rPr>
            <b/>
            <sz val="8"/>
            <color indexed="81"/>
            <rFont val="Tahoma"/>
            <family val="2"/>
          </rPr>
          <t>Natasha Pozega:</t>
        </r>
        <r>
          <rPr>
            <sz val="8"/>
            <color indexed="81"/>
            <rFont val="Tahoma"/>
            <family val="2"/>
          </rPr>
          <t xml:space="preserve">
$50x6
</t>
        </r>
      </text>
    </comment>
    <comment ref="C23" authorId="4" shapeId="0" xr:uid="{00000000-0006-0000-2100-000006000000}">
      <text>
        <r>
          <rPr>
            <b/>
            <sz val="8"/>
            <color indexed="81"/>
            <rFont val="Tahoma"/>
            <family val="2"/>
          </rPr>
          <t>David Collins:</t>
        </r>
        <r>
          <rPr>
            <sz val="8"/>
            <color indexed="81"/>
            <rFont val="Tahoma"/>
            <family val="2"/>
          </rPr>
          <t xml:space="preserve">
Special Events Off Campus
</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s4cook</author>
    <author>Adam Garcia</author>
    <author>Ben Balfour</author>
    <author>Benjamin Balfour</author>
    <author>Carly McCready</author>
    <author>Kurt MacMillan</author>
    <author>Windows User</author>
    <author>Brian Schwan</author>
  </authors>
  <commentList>
    <comment ref="C11" authorId="0" shapeId="0" xr:uid="{00000000-0006-0000-2200-000001000000}">
      <text>
        <r>
          <rPr>
            <b/>
            <sz val="8"/>
            <color indexed="81"/>
            <rFont val="Tahoma"/>
            <family val="2"/>
          </rPr>
          <t>s4cook:</t>
        </r>
        <r>
          <rPr>
            <sz val="8"/>
            <color indexed="81"/>
            <rFont val="Tahoma"/>
            <family val="2"/>
          </rPr>
          <t xml:space="preserve">
- general assembly voted in favour of .50 increase per enrolled student</t>
        </r>
      </text>
    </comment>
    <comment ref="I11" authorId="1" shapeId="0" xr:uid="{00000000-0006-0000-2200-000002000000}">
      <text>
        <r>
          <rPr>
            <b/>
            <sz val="8"/>
            <color indexed="81"/>
            <rFont val="Tahoma"/>
            <family val="2"/>
          </rPr>
          <t>Adam Garcia:</t>
        </r>
        <r>
          <rPr>
            <sz val="8"/>
            <color indexed="81"/>
            <rFont val="Tahoma"/>
            <family val="2"/>
          </rPr>
          <t xml:space="preserve">
Budgeting with last year's rounded up</t>
        </r>
      </text>
    </comment>
    <comment ref="J11" authorId="2" shapeId="0" xr:uid="{00000000-0006-0000-2200-000003000000}">
      <text>
        <r>
          <rPr>
            <b/>
            <sz val="9"/>
            <color indexed="81"/>
            <rFont val="Tahoma"/>
            <family val="2"/>
          </rPr>
          <t>Ben Balfour:</t>
        </r>
        <r>
          <rPr>
            <sz val="9"/>
            <color indexed="81"/>
            <rFont val="Tahoma"/>
            <family val="2"/>
          </rPr>
          <t xml:space="preserve">
still roughly $15000 in memberships fees outstanding.</t>
        </r>
      </text>
    </comment>
    <comment ref="K11" authorId="3" shapeId="0" xr:uid="{00000000-0006-0000-2200-000004000000}">
      <text>
        <r>
          <rPr>
            <b/>
            <sz val="9"/>
            <color indexed="81"/>
            <rFont val="Tahoma"/>
            <family val="2"/>
          </rPr>
          <t>Benjamin Balfour:</t>
        </r>
        <r>
          <rPr>
            <sz val="9"/>
            <color indexed="81"/>
            <rFont val="Tahoma"/>
            <family val="2"/>
          </rPr>
          <t xml:space="preserve">
due to enrollment increase</t>
        </r>
      </text>
    </comment>
    <comment ref="O11" authorId="4" shapeId="0" xr:uid="{00000000-0006-0000-2200-000005000000}">
      <text>
        <r>
          <rPr>
            <b/>
            <sz val="9"/>
            <color indexed="81"/>
            <rFont val="Tahoma"/>
            <family val="2"/>
          </rPr>
          <t>Carly McCready:</t>
        </r>
        <r>
          <rPr>
            <sz val="9"/>
            <color indexed="81"/>
            <rFont val="Tahoma"/>
            <family val="2"/>
          </rPr>
          <t xml:space="preserve">
$2.99/per student/per year, much cheaper than other provincal advocacy groups </t>
        </r>
      </text>
    </comment>
    <comment ref="S11" authorId="5" shapeId="0" xr:uid="{00000000-0006-0000-2200-000006000000}">
      <text>
        <r>
          <rPr>
            <b/>
            <sz val="9"/>
            <color indexed="81"/>
            <rFont val="Tahoma"/>
            <family val="2"/>
          </rPr>
          <t>Kurt MacMillan:</t>
        </r>
        <r>
          <rPr>
            <sz val="9"/>
            <color indexed="81"/>
            <rFont val="Tahoma"/>
            <family val="2"/>
          </rPr>
          <t xml:space="preserve">
$3.09/student</t>
        </r>
      </text>
    </comment>
    <comment ref="U11" authorId="6" shapeId="0" xr:uid="{00000000-0006-0000-2200-000007000000}">
      <text>
        <r>
          <rPr>
            <b/>
            <sz val="9"/>
            <color indexed="81"/>
            <rFont val="Tahoma"/>
            <family val="2"/>
          </rPr>
          <t>Windows User:</t>
        </r>
        <r>
          <rPr>
            <sz val="9"/>
            <color indexed="81"/>
            <rFont val="Tahoma"/>
            <family val="2"/>
          </rPr>
          <t xml:space="preserve">
Optional Advocacy fees for Gov't advocacy (provincial) means planning around 30% opt-out rate.</t>
        </r>
      </text>
    </comment>
    <comment ref="I12" authorId="1" shapeId="0" xr:uid="{00000000-0006-0000-2200-000008000000}">
      <text>
        <r>
          <rPr>
            <b/>
            <sz val="8"/>
            <color indexed="81"/>
            <rFont val="Tahoma"/>
            <family val="2"/>
          </rPr>
          <t>Adam Garcia:</t>
        </r>
        <r>
          <rPr>
            <sz val="8"/>
            <color indexed="81"/>
            <rFont val="Tahoma"/>
            <family val="2"/>
          </rPr>
          <t xml:space="preserve">
Partners in Higher Education Dinner</t>
        </r>
      </text>
    </comment>
    <comment ref="O12" authorId="4" shapeId="0" xr:uid="{00000000-0006-0000-2200-000009000000}">
      <text>
        <r>
          <rPr>
            <b/>
            <sz val="9"/>
            <color indexed="81"/>
            <rFont val="Tahoma"/>
            <family val="2"/>
          </rPr>
          <t>Carly McCready:</t>
        </r>
        <r>
          <rPr>
            <sz val="9"/>
            <color indexed="81"/>
            <rFont val="Tahoma"/>
            <family val="2"/>
          </rPr>
          <t xml:space="preserve">
Partners in Higher Education Dinner, we attend every year, networking with other schools and politicians and presentation of teaching awardsLike what?</t>
        </r>
      </text>
    </comment>
    <comment ref="S12" authorId="5" shapeId="0" xr:uid="{00000000-0006-0000-2200-00000A000000}">
      <text>
        <r>
          <rPr>
            <b/>
            <sz val="9"/>
            <color indexed="81"/>
            <rFont val="Tahoma"/>
            <family val="2"/>
          </rPr>
          <t>Kurt MacMillan:</t>
        </r>
        <r>
          <rPr>
            <sz val="9"/>
            <color indexed="81"/>
            <rFont val="Tahoma"/>
            <family val="2"/>
          </rPr>
          <t xml:space="preserve">
Networking dinners throughout the year</t>
        </r>
      </text>
    </comment>
    <comment ref="C13" authorId="0" shapeId="0" xr:uid="{00000000-0006-0000-2200-00000B000000}">
      <text>
        <r>
          <rPr>
            <b/>
            <sz val="8"/>
            <color indexed="81"/>
            <rFont val="Tahoma"/>
            <family val="2"/>
          </rPr>
          <t>s4cook:</t>
        </r>
        <r>
          <rPr>
            <sz val="8"/>
            <color indexed="81"/>
            <rFont val="Tahoma"/>
            <family val="2"/>
          </rPr>
          <t xml:space="preserve">
- increase due to hosting the conference last year, travelling to 3 conferences</t>
        </r>
      </text>
    </comment>
    <comment ref="I13" authorId="1" shapeId="0" xr:uid="{00000000-0006-0000-2200-00000C000000}">
      <text>
        <r>
          <rPr>
            <b/>
            <sz val="8"/>
            <color indexed="81"/>
            <rFont val="Tahoma"/>
            <family val="2"/>
          </rPr>
          <t>Adam Garcia:</t>
        </r>
        <r>
          <rPr>
            <sz val="8"/>
            <color indexed="81"/>
            <rFont val="Tahoma"/>
            <family val="2"/>
          </rPr>
          <t xml:space="preserve">
$600/TransCon
$600/StratCon
$6500x2/General Assembly
$50/month/Steering Committee
$500/PiHED &amp; Alumni Night
</t>
        </r>
      </text>
    </comment>
    <comment ref="K13" authorId="3" shapeId="0" xr:uid="{00000000-0006-0000-2200-00000D000000}">
      <text>
        <r>
          <rPr>
            <b/>
            <sz val="9"/>
            <color indexed="81"/>
            <rFont val="Tahoma"/>
            <family val="2"/>
          </rPr>
          <t>Benjamin Balfour:</t>
        </r>
        <r>
          <rPr>
            <sz val="9"/>
            <color indexed="81"/>
            <rFont val="Tahoma"/>
            <family val="2"/>
          </rPr>
          <t xml:space="preserve">
Delegate traveling along</t>
        </r>
      </text>
    </comment>
    <comment ref="O13" authorId="4" shapeId="0" xr:uid="{00000000-0006-0000-2200-00000E000000}">
      <text>
        <r>
          <rPr>
            <b/>
            <sz val="9"/>
            <color indexed="81"/>
            <rFont val="Tahoma"/>
            <family val="2"/>
          </rPr>
          <t>Carly McCready:</t>
        </r>
        <r>
          <rPr>
            <sz val="9"/>
            <color indexed="81"/>
            <rFont val="Tahoma"/>
            <family val="2"/>
          </rPr>
          <t xml:space="preserve">
For OUSA General Assembly for student at-large delegates</t>
        </r>
      </text>
    </comment>
    <comment ref="Q13" authorId="7" shapeId="0" xr:uid="{00000000-0006-0000-2200-00000F000000}">
      <text>
        <r>
          <rPr>
            <b/>
            <sz val="9"/>
            <color indexed="81"/>
            <rFont val="Tahoma"/>
            <family val="2"/>
          </rPr>
          <t>Brian Schwan:</t>
        </r>
        <r>
          <rPr>
            <sz val="9"/>
            <color indexed="81"/>
            <rFont val="Tahoma"/>
            <family val="2"/>
          </rPr>
          <t xml:space="preserve">
OUSA General Assembly.  1 laurier 1 @ laurentian</t>
        </r>
      </text>
    </comment>
    <comment ref="S13" authorId="5" shapeId="0" xr:uid="{00000000-0006-0000-2200-000010000000}">
      <text>
        <r>
          <rPr>
            <b/>
            <sz val="9"/>
            <color indexed="81"/>
            <rFont val="Tahoma"/>
            <family val="2"/>
          </rPr>
          <t>Kurt MacMillan:</t>
        </r>
        <r>
          <rPr>
            <sz val="9"/>
            <color indexed="81"/>
            <rFont val="Tahoma"/>
            <family val="2"/>
          </rPr>
          <t xml:space="preserve">
OUSA general assembly 
1 at Waterloo and 1 at McMaster</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Carly McCready</author>
    <author>Kumar Patel</author>
    <author>Natasha Pozega</author>
    <author>Kurt MacMillan</author>
    <author>s4cook</author>
    <author>Matt Colphon</author>
    <author>Ben Balfour</author>
    <author>Brian Schwan</author>
    <author>Windows User</author>
    <author>p32patel</author>
  </authors>
  <commentList>
    <comment ref="B9" authorId="0" shapeId="0" xr:uid="{00000000-0006-0000-2500-000001000000}">
      <text>
        <r>
          <rPr>
            <b/>
            <sz val="9"/>
            <color indexed="81"/>
            <rFont val="Tahoma"/>
            <family val="2"/>
          </rPr>
          <t>Carly McCready:</t>
        </r>
        <r>
          <rPr>
            <sz val="9"/>
            <color indexed="81"/>
            <rFont val="Tahoma"/>
            <family val="2"/>
          </rPr>
          <t xml:space="preserve">
For events at The Bomber that don't make enough money for Bomber to break even</t>
        </r>
      </text>
    </comment>
    <comment ref="F9" authorId="1" shapeId="0" xr:uid="{00000000-0006-0000-2500-000002000000}">
      <text>
        <r>
          <rPr>
            <b/>
            <sz val="8"/>
            <color indexed="81"/>
            <rFont val="Tahoma"/>
            <family val="2"/>
          </rPr>
          <t>Kumar Patel:</t>
        </r>
        <r>
          <rPr>
            <sz val="8"/>
            <color indexed="81"/>
            <rFont val="Tahoma"/>
            <family val="2"/>
          </rPr>
          <t xml:space="preserve">
Less bookings due to takeover of fed hall.</t>
        </r>
      </text>
    </comment>
    <comment ref="H9" authorId="2" shapeId="0" xr:uid="{00000000-0006-0000-2500-000003000000}">
      <text>
        <r>
          <rPr>
            <b/>
            <sz val="10"/>
            <color indexed="81"/>
            <rFont val="Tahoma"/>
            <family val="2"/>
          </rPr>
          <t>Natasha Pozega:</t>
        </r>
        <r>
          <rPr>
            <sz val="10"/>
            <color indexed="81"/>
            <rFont val="Tahoma"/>
            <family val="2"/>
          </rPr>
          <t xml:space="preserve">
Got charged through General Office last year
</t>
        </r>
      </text>
    </comment>
    <comment ref="S9" authorId="3" shapeId="0" xr:uid="{00000000-0006-0000-2500-000004000000}">
      <text>
        <r>
          <rPr>
            <b/>
            <sz val="9"/>
            <color indexed="81"/>
            <rFont val="Tahoma"/>
            <family val="2"/>
          </rPr>
          <t>Kurt MacMillan:</t>
        </r>
        <r>
          <rPr>
            <sz val="9"/>
            <color indexed="81"/>
            <rFont val="Tahoma"/>
            <family val="2"/>
          </rPr>
          <t xml:space="preserve">
Cover off for internal groups with clubs services and societies</t>
        </r>
      </text>
    </comment>
    <comment ref="U9" authorId="3" shapeId="0" xr:uid="{00000000-0006-0000-2500-000005000000}">
      <text>
        <r>
          <rPr>
            <b/>
            <sz val="9"/>
            <color indexed="81"/>
            <rFont val="Tahoma"/>
            <family val="2"/>
          </rPr>
          <t>Kurt MacMillan:</t>
        </r>
        <r>
          <rPr>
            <sz val="9"/>
            <color indexed="81"/>
            <rFont val="Tahoma"/>
            <family val="2"/>
          </rPr>
          <t xml:space="preserve">
For groups to use other spaces</t>
        </r>
      </text>
    </comment>
    <comment ref="C10" authorId="4" shapeId="0" xr:uid="{00000000-0006-0000-2500-000006000000}">
      <text>
        <r>
          <rPr>
            <b/>
            <sz val="8"/>
            <color indexed="81"/>
            <rFont val="Tahoma"/>
            <family val="2"/>
          </rPr>
          <t>s4cook:</t>
        </r>
        <r>
          <rPr>
            <sz val="8"/>
            <color indexed="81"/>
            <rFont val="Tahoma"/>
            <family val="2"/>
          </rPr>
          <t xml:space="preserve">
-increased by inflation
- portion of salary comes from health, dental and UPASS accounts
</t>
        </r>
      </text>
    </comment>
    <comment ref="F10" authorId="5" shapeId="0" xr:uid="{00000000-0006-0000-2500-000007000000}">
      <text>
        <r>
          <rPr>
            <b/>
            <sz val="8"/>
            <color indexed="81"/>
            <rFont val="Tahoma"/>
            <family val="2"/>
          </rPr>
          <t>Matt Colphon:</t>
        </r>
        <r>
          <rPr>
            <sz val="8"/>
            <color indexed="81"/>
            <rFont val="Tahoma"/>
            <family val="2"/>
          </rPr>
          <t xml:space="preserve">
included CPI increase to previous, need number</t>
        </r>
      </text>
    </comment>
    <comment ref="I10" authorId="2" shapeId="0" xr:uid="{00000000-0006-0000-2500-000008000000}">
      <text>
        <r>
          <rPr>
            <b/>
            <sz val="8"/>
            <color indexed="81"/>
            <rFont val="Tahoma"/>
            <family val="2"/>
          </rPr>
          <t>Natasha Pozega:</t>
        </r>
        <r>
          <rPr>
            <sz val="8"/>
            <color indexed="81"/>
            <rFont val="Tahoma"/>
            <family val="2"/>
          </rPr>
          <t xml:space="preserve">
recalculate, distribute</t>
        </r>
      </text>
    </comment>
    <comment ref="K10" authorId="6" shapeId="0" xr:uid="{00000000-0006-0000-2500-000009000000}">
      <text>
        <r>
          <rPr>
            <b/>
            <sz val="9"/>
            <color indexed="81"/>
            <rFont val="Tahoma"/>
            <family val="2"/>
          </rPr>
          <t>Ben Balfour:</t>
        </r>
        <r>
          <rPr>
            <sz val="9"/>
            <color indexed="81"/>
            <rFont val="Tahoma"/>
            <family val="2"/>
          </rPr>
          <t xml:space="preserve">
5% health, dental, and 7% upass. Negotiation year</t>
        </r>
      </text>
    </comment>
    <comment ref="O10" authorId="7" shapeId="0" xr:uid="{00000000-0006-0000-2500-00000A000000}">
      <text>
        <r>
          <rPr>
            <b/>
            <sz val="9"/>
            <color indexed="81"/>
            <rFont val="Tahoma"/>
            <family val="2"/>
          </rPr>
          <t>Brian Schwan:</t>
        </r>
        <r>
          <rPr>
            <sz val="9"/>
            <color indexed="81"/>
            <rFont val="Tahoma"/>
            <family val="2"/>
          </rPr>
          <t xml:space="preserve">
increased by 1.1% CPI
</t>
        </r>
      </text>
    </comment>
    <comment ref="T10" authorId="8" shapeId="0" xr:uid="{00000000-0006-0000-2500-00000B000000}">
      <text>
        <r>
          <rPr>
            <b/>
            <sz val="9"/>
            <color indexed="81"/>
            <rFont val="Tahoma"/>
            <family val="2"/>
          </rPr>
          <t>Windows User:</t>
        </r>
        <r>
          <rPr>
            <sz val="9"/>
            <color indexed="81"/>
            <rFont val="Tahoma"/>
            <family val="2"/>
          </rPr>
          <t xml:space="preserve">
2018/19 Fiscal had contracts that went two weeks into this year… this number does not seem accurate</t>
        </r>
      </text>
    </comment>
    <comment ref="C13" authorId="4" shapeId="0" xr:uid="{00000000-0006-0000-2500-00000C000000}">
      <text>
        <r>
          <rPr>
            <b/>
            <sz val="8"/>
            <color indexed="81"/>
            <rFont val="Tahoma"/>
            <family val="2"/>
          </rPr>
          <t>s4cook:</t>
        </r>
        <r>
          <rPr>
            <sz val="8"/>
            <color indexed="81"/>
            <rFont val="Tahoma"/>
            <family val="2"/>
          </rPr>
          <t xml:space="preserve">
- cross departmental co-op students</t>
        </r>
      </text>
    </comment>
    <comment ref="S16" authorId="3" shapeId="0" xr:uid="{00000000-0006-0000-2500-00000D000000}">
      <text>
        <r>
          <rPr>
            <b/>
            <sz val="9"/>
            <color indexed="81"/>
            <rFont val="Tahoma"/>
            <family val="2"/>
          </rPr>
          <t>Kurt MacMillan:</t>
        </r>
        <r>
          <rPr>
            <sz val="9"/>
            <color indexed="81"/>
            <rFont val="Tahoma"/>
            <family val="2"/>
          </rPr>
          <t xml:space="preserve">
Alotted $73/month x12 months</t>
        </r>
      </text>
    </comment>
    <comment ref="C19" authorId="4" shapeId="0" xr:uid="{00000000-0006-0000-2500-00000E000000}">
      <text>
        <r>
          <rPr>
            <b/>
            <sz val="8"/>
            <color indexed="81"/>
            <rFont val="Tahoma"/>
            <family val="2"/>
          </rPr>
          <t>s4cook:</t>
        </r>
        <r>
          <rPr>
            <sz val="8"/>
            <color indexed="81"/>
            <rFont val="Tahoma"/>
            <family val="2"/>
          </rPr>
          <t xml:space="preserve">
based on last year's actuals
</t>
        </r>
      </text>
    </comment>
    <comment ref="C22" authorId="4" shapeId="0" xr:uid="{00000000-0006-0000-2500-00000F000000}">
      <text>
        <r>
          <rPr>
            <b/>
            <sz val="8"/>
            <color indexed="81"/>
            <rFont val="Tahoma"/>
            <family val="2"/>
          </rPr>
          <t>s4cook:</t>
        </r>
        <r>
          <rPr>
            <sz val="8"/>
            <color indexed="81"/>
            <rFont val="Tahoma"/>
            <family val="2"/>
          </rPr>
          <t xml:space="preserve">
-diversity conference + smart serve training
</t>
        </r>
      </text>
    </comment>
    <comment ref="E22" authorId="9" shapeId="0" xr:uid="{00000000-0006-0000-2500-000010000000}">
      <text>
        <r>
          <rPr>
            <b/>
            <sz val="8"/>
            <color indexed="81"/>
            <rFont val="Tahoma"/>
            <family val="2"/>
          </rPr>
          <t>p32patel:</t>
        </r>
        <r>
          <rPr>
            <sz val="8"/>
            <color indexed="81"/>
            <rFont val="Tahoma"/>
            <family val="2"/>
          </rPr>
          <t xml:space="preserve">
MoneyCon
COCA- Bar Programming
</t>
        </r>
      </text>
    </comment>
    <comment ref="G22" authorId="1" shapeId="0" xr:uid="{00000000-0006-0000-2500-000011000000}">
      <text>
        <r>
          <rPr>
            <b/>
            <sz val="8"/>
            <color indexed="81"/>
            <rFont val="Tahoma"/>
            <family val="2"/>
          </rPr>
          <t>Kumar Patel:</t>
        </r>
        <r>
          <rPr>
            <sz val="8"/>
            <color indexed="81"/>
            <rFont val="Tahoma"/>
            <family val="2"/>
          </rPr>
          <t xml:space="preserve">
AMICCUS-C
MoneyCon</t>
        </r>
      </text>
    </comment>
    <comment ref="K22" authorId="6" shapeId="0" xr:uid="{00000000-0006-0000-2500-000012000000}">
      <text>
        <r>
          <rPr>
            <b/>
            <sz val="9"/>
            <color indexed="81"/>
            <rFont val="Tahoma"/>
            <family val="2"/>
          </rPr>
          <t>Ben Balfour:</t>
        </r>
        <r>
          <rPr>
            <sz val="9"/>
            <color indexed="81"/>
            <rFont val="Tahoma"/>
            <family val="2"/>
          </rPr>
          <t xml:space="preserve">
605+150 for Suds</t>
        </r>
      </text>
    </comment>
    <comment ref="S22" authorId="3" shapeId="0" xr:uid="{00000000-0006-0000-2500-000013000000}">
      <text>
        <r>
          <rPr>
            <b/>
            <sz val="9"/>
            <color indexed="81"/>
            <rFont val="Tahoma"/>
            <family val="2"/>
          </rPr>
          <t>Kurt MacMillan:</t>
        </r>
        <r>
          <rPr>
            <sz val="9"/>
            <color indexed="81"/>
            <rFont val="Tahoma"/>
            <family val="2"/>
          </rPr>
          <t xml:space="preserve">
Increase for RRG and new proj in SLC/PAC expansion</t>
        </r>
      </text>
    </comment>
    <comment ref="C23" authorId="4" shapeId="0" xr:uid="{00000000-0006-0000-2500-000014000000}">
      <text>
        <r>
          <rPr>
            <b/>
            <sz val="8"/>
            <color indexed="81"/>
            <rFont val="Tahoma"/>
            <family val="2"/>
          </rPr>
          <t>s4cook:</t>
        </r>
        <r>
          <rPr>
            <sz val="8"/>
            <color indexed="81"/>
            <rFont val="Tahoma"/>
            <family val="2"/>
          </rPr>
          <t xml:space="preserve">
- for co-op student discounts
</t>
        </r>
      </text>
    </comment>
    <comment ref="I23" authorId="2" shapeId="0" xr:uid="{00000000-0006-0000-2500-000015000000}">
      <text>
        <r>
          <rPr>
            <b/>
            <sz val="8"/>
            <color indexed="81"/>
            <rFont val="Tahoma"/>
            <family val="2"/>
          </rPr>
          <t>Natasha Pozega:</t>
        </r>
        <r>
          <rPr>
            <sz val="8"/>
            <color indexed="81"/>
            <rFont val="Tahoma"/>
            <family val="2"/>
          </rPr>
          <t xml:space="preserve">
Holiday party P/T staff</t>
        </r>
      </text>
    </comment>
    <comment ref="O23" authorId="7" shapeId="0" xr:uid="{00000000-0006-0000-2500-000016000000}">
      <text>
        <r>
          <rPr>
            <b/>
            <sz val="9"/>
            <color indexed="81"/>
            <rFont val="Tahoma"/>
            <family val="2"/>
          </rPr>
          <t>Brian Schwan:</t>
        </r>
        <r>
          <rPr>
            <sz val="9"/>
            <color indexed="81"/>
            <rFont val="Tahoma"/>
            <family val="2"/>
          </rPr>
          <t xml:space="preserve">
This is something we havent been doing/doing well and need to start to increase organizational cohesiveness</t>
        </r>
      </text>
    </comment>
    <comment ref="S23" authorId="3" shapeId="0" xr:uid="{00000000-0006-0000-2500-000017000000}">
      <text>
        <r>
          <rPr>
            <b/>
            <sz val="9"/>
            <color indexed="81"/>
            <rFont val="Tahoma"/>
            <family val="2"/>
          </rPr>
          <t>Kurt MacMillan:</t>
        </r>
        <r>
          <rPr>
            <sz val="9"/>
            <color indexed="81"/>
            <rFont val="Tahoma"/>
            <family val="2"/>
          </rPr>
          <t xml:space="preserve">
All PTS from the year is invited to a Staff Appreciation Event</t>
        </r>
      </text>
    </comment>
    <comment ref="I24" authorId="2" shapeId="0" xr:uid="{00000000-0006-0000-2500-000018000000}">
      <text>
        <r>
          <rPr>
            <b/>
            <sz val="8"/>
            <color indexed="81"/>
            <rFont val="Tahoma"/>
            <family val="2"/>
          </rPr>
          <t>Natasha Pozega:</t>
        </r>
        <r>
          <rPr>
            <sz val="8"/>
            <color indexed="81"/>
            <rFont val="Tahoma"/>
            <family val="2"/>
          </rPr>
          <t xml:space="preserve">
Digital Signage Amortization--&gt; not calculated /yr yet</t>
        </r>
      </text>
    </comment>
    <comment ref="C25" authorId="4" shapeId="0" xr:uid="{00000000-0006-0000-2500-000019000000}">
      <text>
        <r>
          <rPr>
            <b/>
            <sz val="8"/>
            <color indexed="81"/>
            <rFont val="Tahoma"/>
            <family val="2"/>
          </rPr>
          <t>s4cook:</t>
        </r>
        <r>
          <rPr>
            <sz val="8"/>
            <color indexed="81"/>
            <rFont val="Tahoma"/>
            <family val="2"/>
          </rPr>
          <t xml:space="preserve">
- business survey prizes
- arch lunch
</t>
        </r>
      </text>
    </comment>
    <comment ref="E25" authorId="9" shapeId="0" xr:uid="{00000000-0006-0000-2500-00001A000000}">
      <text>
        <r>
          <rPr>
            <b/>
            <sz val="8"/>
            <color indexed="81"/>
            <rFont val="Tahoma"/>
            <family val="2"/>
          </rPr>
          <t>p32patel:</t>
        </r>
        <r>
          <rPr>
            <sz val="8"/>
            <color indexed="81"/>
            <rFont val="Tahoma"/>
            <family val="2"/>
          </rPr>
          <t xml:space="preserve">
* Breakfasts
* Service Improvements
* Contests/Promotions
* Consultants - Review Business Operations
</t>
        </r>
      </text>
    </comment>
    <comment ref="O27" authorId="7" shapeId="0" xr:uid="{00000000-0006-0000-2500-00001B000000}">
      <text>
        <r>
          <rPr>
            <b/>
            <sz val="9"/>
            <color indexed="81"/>
            <rFont val="Tahoma"/>
            <family val="2"/>
          </rPr>
          <t>Brian Schwan:</t>
        </r>
        <r>
          <rPr>
            <sz val="9"/>
            <color indexed="81"/>
            <rFont val="Tahoma"/>
            <family val="2"/>
          </rPr>
          <t xml:space="preserve">
licence increased by 5%</t>
        </r>
      </text>
    </comment>
    <comment ref="S27" authorId="3" shapeId="0" xr:uid="{00000000-0006-0000-2500-00001C000000}">
      <text>
        <r>
          <rPr>
            <b/>
            <sz val="9"/>
            <color indexed="81"/>
            <rFont val="Tahoma"/>
            <family val="2"/>
          </rPr>
          <t>Kurt MacMillan:</t>
        </r>
        <r>
          <rPr>
            <sz val="9"/>
            <color indexed="81"/>
            <rFont val="Tahoma"/>
            <family val="2"/>
          </rPr>
          <t xml:space="preserve">
Covers liability for all Feds members to utilise Tv shows / movies at no licensing fee. Approx $100/movie</t>
        </r>
      </text>
    </comment>
    <comment ref="O28" authorId="0" shapeId="0" xr:uid="{00000000-0006-0000-2500-00001D000000}">
      <text>
        <r>
          <rPr>
            <b/>
            <sz val="9"/>
            <color indexed="81"/>
            <rFont val="Tahoma"/>
            <family val="2"/>
          </rPr>
          <t>Carly McCready:</t>
        </r>
        <r>
          <rPr>
            <sz val="9"/>
            <color indexed="81"/>
            <rFont val="Tahoma"/>
            <family val="2"/>
          </rPr>
          <t xml:space="preserve">
500 each + tax</t>
        </r>
      </text>
    </comment>
    <comment ref="B29" authorId="8" shapeId="0" xr:uid="{00000000-0006-0000-2500-00001E000000}">
      <text>
        <r>
          <rPr>
            <b/>
            <sz val="9"/>
            <color indexed="81"/>
            <rFont val="Tahoma"/>
            <family val="2"/>
          </rPr>
          <t>Windows User:</t>
        </r>
        <r>
          <rPr>
            <sz val="9"/>
            <color indexed="81"/>
            <rFont val="Tahoma"/>
            <family val="2"/>
          </rPr>
          <t xml:space="preserve">
Moved from VPSL Budget by Council in Winter 2019 (2018-2019 governing year)</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Windows User</author>
    <author>Kurt MacMillan</author>
  </authors>
  <commentList>
    <comment ref="K5" authorId="0" shapeId="0" xr:uid="{00000000-0006-0000-2600-000001000000}">
      <text>
        <r>
          <rPr>
            <b/>
            <sz val="9"/>
            <color indexed="81"/>
            <rFont val="Tahoma"/>
            <family val="2"/>
          </rPr>
          <t>Windows User:</t>
        </r>
        <r>
          <rPr>
            <sz val="9"/>
            <color indexed="81"/>
            <rFont val="Tahoma"/>
            <family val="2"/>
          </rPr>
          <t xml:space="preserve">
Per Council's requirement that Comm Ops must paid for their own expenses, 30% of the Office of the Director of Ops &amp; Dev has been covered by Commercial Operations. Remaining 70% reflects real useage of rule to organization and other non-commercial functions.</t>
        </r>
      </text>
    </comment>
    <comment ref="I14" authorId="1" shapeId="0" xr:uid="{00000000-0006-0000-2600-000002000000}">
      <text>
        <r>
          <rPr>
            <b/>
            <sz val="9"/>
            <color indexed="81"/>
            <rFont val="Tahoma"/>
            <family val="2"/>
          </rPr>
          <t>Kurt MacMillan:</t>
        </r>
        <r>
          <rPr>
            <sz val="9"/>
            <color indexed="81"/>
            <rFont val="Tahoma"/>
            <family val="2"/>
          </rPr>
          <t xml:space="preserve">
Increased for conf with VPOF in RRG</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Windows User</author>
    <author>Kurt MacMillan</author>
  </authors>
  <commentList>
    <comment ref="C15" authorId="0" shapeId="0" xr:uid="{00000000-0006-0000-2700-000001000000}">
      <text>
        <r>
          <rPr>
            <b/>
            <sz val="9"/>
            <color indexed="81"/>
            <rFont val="Tahoma"/>
            <family val="2"/>
          </rPr>
          <t>Windows User:</t>
        </r>
        <r>
          <rPr>
            <sz val="9"/>
            <color indexed="81"/>
            <rFont val="Tahoma"/>
            <family val="2"/>
          </rPr>
          <t xml:space="preserve">
Feds owned used book cost to increase by 15k. Credit note issue.</t>
        </r>
      </text>
    </comment>
    <comment ref="D29" authorId="0" shapeId="0" xr:uid="{00000000-0006-0000-2700-000002000000}">
      <text>
        <r>
          <rPr>
            <b/>
            <sz val="9"/>
            <color indexed="81"/>
            <rFont val="Tahoma"/>
            <family val="2"/>
          </rPr>
          <t>Windows User:</t>
        </r>
        <r>
          <rPr>
            <sz val="9"/>
            <color indexed="81"/>
            <rFont val="Tahoma"/>
            <family val="2"/>
          </rPr>
          <t xml:space="preserve">
Business Salaries allocated to each business unit, rather than to summary line and services.
All business related salaries that were being charged out to services line (Maker's Kitchen being a joint venture with CL and CO departments) are now borne 90%+ by comm ops departments because those units are much less of a joint venture now than they were when they began, particularly with other demands. 
There remains a need therefore to cover off salaries and overheads for kitchen staff and former Wasabi/CampusBubble staff by opening a new offering in the food court. Revenue is needed.</t>
        </r>
      </text>
    </comment>
    <comment ref="A31" authorId="0" shapeId="0" xr:uid="{00000000-0006-0000-2700-000003000000}">
      <text>
        <r>
          <rPr>
            <b/>
            <sz val="9"/>
            <color indexed="81"/>
            <rFont val="Tahoma"/>
            <family val="2"/>
          </rPr>
          <t>Windows User:</t>
        </r>
        <r>
          <rPr>
            <sz val="9"/>
            <color indexed="81"/>
            <rFont val="Tahoma"/>
            <family val="2"/>
          </rPr>
          <t xml:space="preserve">
Reduced to 10% in 2019/2020</t>
        </r>
      </text>
    </comment>
    <comment ref="A32" authorId="0" shapeId="0" xr:uid="{00000000-0006-0000-2700-000004000000}">
      <text>
        <r>
          <rPr>
            <b/>
            <sz val="9"/>
            <color indexed="81"/>
            <rFont val="Tahoma"/>
            <family val="2"/>
          </rPr>
          <t>Windows User:</t>
        </r>
        <r>
          <rPr>
            <sz val="9"/>
            <color indexed="81"/>
            <rFont val="Tahoma"/>
            <family val="2"/>
          </rPr>
          <t xml:space="preserve">
Reduced to 10% in 2019/2020</t>
        </r>
      </text>
    </comment>
    <comment ref="D33" authorId="0" shapeId="0" xr:uid="{00000000-0006-0000-2700-000005000000}">
      <text>
        <r>
          <rPr>
            <b/>
            <sz val="9"/>
            <color indexed="81"/>
            <rFont val="Tahoma"/>
            <family val="2"/>
          </rPr>
          <t>Windows User:</t>
        </r>
        <r>
          <rPr>
            <sz val="9"/>
            <color indexed="81"/>
            <rFont val="Tahoma"/>
            <family val="2"/>
          </rPr>
          <t xml:space="preserve">
Per Council's requiremenet that no member dues, direct or indirect, be used to support Commercial Operations pursuits. 30% of portfolio of Director of Ops &amp; Dev related to Commercial Operations must be paid out of Comm Ops Budget</t>
        </r>
      </text>
    </comment>
    <comment ref="B36" authorId="1" shapeId="0" xr:uid="{00000000-0006-0000-2700-000006000000}">
      <text>
        <r>
          <rPr>
            <b/>
            <sz val="9"/>
            <color indexed="81"/>
            <rFont val="Tahoma"/>
            <family val="2"/>
          </rPr>
          <t>Kurt MacMillan:</t>
        </r>
        <r>
          <rPr>
            <sz val="9"/>
            <color indexed="81"/>
            <rFont val="Tahoma"/>
            <family val="2"/>
          </rPr>
          <t xml:space="preserve">
doesn't include all business salaries and Bomber
</t>
        </r>
      </text>
    </comment>
    <comment ref="C36" authorId="0" shapeId="0" xr:uid="{00000000-0006-0000-2700-000007000000}">
      <text>
        <r>
          <rPr>
            <b/>
            <sz val="9"/>
            <color indexed="81"/>
            <rFont val="Tahoma"/>
            <family val="2"/>
          </rPr>
          <t>Windows User:</t>
        </r>
        <r>
          <rPr>
            <sz val="9"/>
            <color indexed="81"/>
            <rFont val="Tahoma"/>
            <family val="2"/>
          </rPr>
          <t xml:space="preserve">
At the time 50% the costs of Maker's Kitchen salaries covered by Feds Fee… but on agreement to allow student use of the kitchen. That side of ops is now less than 1/10 of the work of the kitchen and costs should be reallocatd appropriately.</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D4" authorId="0" shapeId="0" xr:uid="{00000000-0006-0000-2F00-000001000000}">
      <text>
        <r>
          <rPr>
            <b/>
            <sz val="9"/>
            <color indexed="81"/>
            <rFont val="Tahoma"/>
            <charset val="1"/>
          </rPr>
          <t>Windows User:</t>
        </r>
        <r>
          <rPr>
            <sz val="9"/>
            <color indexed="81"/>
            <rFont val="Tahoma"/>
            <charset val="1"/>
          </rPr>
          <t xml:space="preserve">
Commercial Operations 20% moved to Commercial Operations sub-division by the Council/Board</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Kurt MacMillan</author>
    <author>Melissa Thomas</author>
    <author>Windows User</author>
  </authors>
  <commentList>
    <comment ref="M10" authorId="0" shapeId="0" xr:uid="{00000000-0006-0000-3000-000001000000}">
      <text>
        <r>
          <rPr>
            <b/>
            <sz val="9"/>
            <color indexed="81"/>
            <rFont val="Tahoma"/>
            <family val="2"/>
          </rPr>
          <t>Kurt MacMillan:</t>
        </r>
        <r>
          <rPr>
            <sz val="9"/>
            <color indexed="81"/>
            <rFont val="Tahoma"/>
            <family val="2"/>
          </rPr>
          <t xml:space="preserve">
Increase due to min wage increase and more PT staff in marketing pit </t>
        </r>
      </text>
    </comment>
    <comment ref="O10" authorId="1" shapeId="0" xr:uid="{00000000-0006-0000-3000-000002000000}">
      <text>
        <r>
          <rPr>
            <b/>
            <sz val="9"/>
            <color indexed="81"/>
            <rFont val="Tahoma"/>
            <family val="2"/>
          </rPr>
          <t>Melissa Thomas:</t>
        </r>
        <r>
          <rPr>
            <sz val="9"/>
            <color indexed="81"/>
            <rFont val="Tahoma"/>
            <family val="2"/>
          </rPr>
          <t xml:space="preserve">
additional $4000 from President's budget to cover promo team as polling clerks (approx. $34,000 spring)</t>
        </r>
      </text>
    </comment>
    <comment ref="M11" authorId="1" shapeId="0" xr:uid="{00000000-0006-0000-3000-000003000000}">
      <text>
        <r>
          <rPr>
            <b/>
            <sz val="9"/>
            <color indexed="81"/>
            <rFont val="Tahoma"/>
            <family val="2"/>
          </rPr>
          <t>Melissa Thomas:</t>
        </r>
        <r>
          <rPr>
            <sz val="9"/>
            <color indexed="81"/>
            <rFont val="Tahoma"/>
            <family val="2"/>
          </rPr>
          <t xml:space="preserve">
Moved 2nd line from CL budget to main w/ phone in Mktg Pit
</t>
        </r>
      </text>
    </comment>
    <comment ref="O16" authorId="1" shapeId="0" xr:uid="{00000000-0006-0000-3000-000004000000}">
      <text>
        <r>
          <rPr>
            <b/>
            <sz val="9"/>
            <color indexed="81"/>
            <rFont val="Tahoma"/>
            <family val="2"/>
          </rPr>
          <t>Melissa Thomas:</t>
        </r>
        <r>
          <rPr>
            <sz val="9"/>
            <color indexed="81"/>
            <rFont val="Tahoma"/>
            <family val="2"/>
          </rPr>
          <t xml:space="preserve">
Removed cost for Humanity (IT covering)</t>
        </r>
      </text>
    </comment>
    <comment ref="M18" authorId="0" shapeId="0" xr:uid="{00000000-0006-0000-3000-000005000000}">
      <text>
        <r>
          <rPr>
            <b/>
            <sz val="9"/>
            <color indexed="81"/>
            <rFont val="Tahoma"/>
            <family val="2"/>
          </rPr>
          <t>Kurt MacMillan:</t>
        </r>
        <r>
          <rPr>
            <sz val="9"/>
            <color indexed="81"/>
            <rFont val="Tahoma"/>
            <family val="2"/>
          </rPr>
          <t xml:space="preserve">
Better reflect prev year. Line is used for gaining student interest with 'giveaways'</t>
        </r>
      </text>
    </comment>
    <comment ref="O18" authorId="1" shapeId="0" xr:uid="{00000000-0006-0000-3000-000006000000}">
      <text>
        <r>
          <rPr>
            <b/>
            <sz val="9"/>
            <color indexed="81"/>
            <rFont val="Tahoma"/>
            <family val="2"/>
          </rPr>
          <t>Melissa Thomas:</t>
        </r>
        <r>
          <rPr>
            <sz val="9"/>
            <color indexed="81"/>
            <rFont val="Tahoma"/>
            <family val="2"/>
          </rPr>
          <t xml:space="preserve">
$7700 rebrand ($6200 spring)</t>
        </r>
      </text>
    </comment>
    <comment ref="O19" authorId="1" shapeId="0" xr:uid="{00000000-0006-0000-3000-000007000000}">
      <text>
        <r>
          <rPr>
            <b/>
            <sz val="9"/>
            <color indexed="81"/>
            <rFont val="Tahoma"/>
            <family val="2"/>
          </rPr>
          <t>Melissa Thomas:</t>
        </r>
        <r>
          <rPr>
            <sz val="9"/>
            <color indexed="81"/>
            <rFont val="Tahoma"/>
            <family val="2"/>
          </rPr>
          <t xml:space="preserve">
$2600 total cost for Amiccus-c national with applying for points</t>
        </r>
      </text>
    </comment>
    <comment ref="O20" authorId="1" shapeId="0" xr:uid="{00000000-0006-0000-3000-000008000000}">
      <text>
        <r>
          <rPr>
            <b/>
            <sz val="9"/>
            <color indexed="81"/>
            <rFont val="Tahoma"/>
            <family val="2"/>
          </rPr>
          <t>Melissa Thomas:</t>
        </r>
        <r>
          <rPr>
            <sz val="9"/>
            <color indexed="81"/>
            <rFont val="Tahoma"/>
            <family val="2"/>
          </rPr>
          <t xml:space="preserve">
$10,000 rebrand ($4000 spring)</t>
        </r>
      </text>
    </comment>
    <comment ref="M25" authorId="0" shapeId="0" xr:uid="{00000000-0006-0000-3000-000009000000}">
      <text>
        <r>
          <rPr>
            <b/>
            <sz val="9"/>
            <color indexed="81"/>
            <rFont val="Tahoma"/>
            <family val="2"/>
          </rPr>
          <t>Kurt MacMillan:</t>
        </r>
        <r>
          <rPr>
            <sz val="9"/>
            <color indexed="81"/>
            <rFont val="Tahoma"/>
            <family val="2"/>
          </rPr>
          <t xml:space="preserve">
Staff recognition for FT and PT </t>
        </r>
      </text>
    </comment>
    <comment ref="O25" authorId="1" shapeId="0" xr:uid="{00000000-0006-0000-3000-00000A000000}">
      <text>
        <r>
          <rPr>
            <b/>
            <sz val="9"/>
            <color indexed="81"/>
            <rFont val="Tahoma"/>
            <family val="2"/>
          </rPr>
          <t>Melissa Thomas:</t>
        </r>
        <r>
          <rPr>
            <sz val="9"/>
            <color indexed="81"/>
            <rFont val="Tahoma"/>
            <family val="2"/>
          </rPr>
          <t xml:space="preserve">
Approx. $700 Spring
Reduction with SCI by $1k, should be enough to cover off based on last year</t>
        </r>
      </text>
    </comment>
    <comment ref="O27" authorId="2" shapeId="0" xr:uid="{00000000-0006-0000-3000-00000B000000}">
      <text>
        <r>
          <rPr>
            <b/>
            <sz val="9"/>
            <color indexed="81"/>
            <rFont val="Tahoma"/>
            <family val="2"/>
          </rPr>
          <t>Windows User:</t>
        </r>
        <r>
          <rPr>
            <sz val="9"/>
            <color indexed="81"/>
            <rFont val="Tahoma"/>
            <family val="2"/>
          </rPr>
          <t xml:space="preserve">
Decreased by 500
</t>
        </r>
      </text>
    </comment>
    <comment ref="M28" authorId="1" shapeId="0" xr:uid="{00000000-0006-0000-3000-00000C000000}">
      <text>
        <r>
          <rPr>
            <b/>
            <sz val="9"/>
            <color indexed="81"/>
            <rFont val="Tahoma"/>
            <family val="2"/>
          </rPr>
          <t>Melissa Thomas:</t>
        </r>
        <r>
          <rPr>
            <sz val="9"/>
            <color indexed="81"/>
            <rFont val="Tahoma"/>
            <family val="2"/>
          </rPr>
          <t xml:space="preserve">
Added cost for design room computers
Kurt - Compare 1 Mac to 1 PC amortized over 3 years, with 8 month cost if bought in Sept</t>
        </r>
      </text>
    </comment>
    <comment ref="O28" authorId="1" shapeId="0" xr:uid="{00000000-0006-0000-3000-00000D000000}">
      <text>
        <r>
          <rPr>
            <b/>
            <sz val="9"/>
            <color indexed="81"/>
            <rFont val="Tahoma"/>
            <family val="2"/>
          </rPr>
          <t>Melissa Thomas:</t>
        </r>
        <r>
          <rPr>
            <sz val="9"/>
            <color indexed="81"/>
            <rFont val="Tahoma"/>
            <family val="2"/>
          </rPr>
          <t xml:space="preserve">
Didn't purchase new computers last year so no need to carry over</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Kurt MacMillan</author>
    <author>Lisa Marlene Umholtz</author>
    <author>Melissa Thomas</author>
  </authors>
  <commentList>
    <comment ref="N8" authorId="0" shapeId="0" xr:uid="{00000000-0006-0000-3100-000001000000}">
      <text>
        <r>
          <rPr>
            <b/>
            <sz val="9"/>
            <color indexed="81"/>
            <rFont val="Tahoma"/>
            <family val="2"/>
          </rPr>
          <t>Kurt MacMillan:</t>
        </r>
        <r>
          <rPr>
            <sz val="9"/>
            <color indexed="81"/>
            <rFont val="Tahoma"/>
            <family val="2"/>
          </rPr>
          <t xml:space="preserve">
Would like to double the efforts. This still leaves room for an extra staff for additional help</t>
        </r>
      </text>
    </comment>
    <comment ref="P9" authorId="1" shapeId="0" xr:uid="{00000000-0006-0000-3100-000002000000}">
      <text>
        <r>
          <rPr>
            <b/>
            <sz val="9"/>
            <color indexed="81"/>
            <rFont val="Tahoma"/>
            <family val="2"/>
          </rPr>
          <t>Lisa Marlene Umholtz:</t>
        </r>
        <r>
          <rPr>
            <sz val="9"/>
            <color indexed="81"/>
            <rFont val="Tahoma"/>
            <family val="2"/>
          </rPr>
          <t xml:space="preserve">
Additional FT staff. Need to add in cost of media line
</t>
        </r>
      </text>
    </comment>
    <comment ref="P16" authorId="2" shapeId="0" xr:uid="{00000000-0006-0000-3100-000003000000}">
      <text>
        <r>
          <rPr>
            <b/>
            <sz val="9"/>
            <color indexed="81"/>
            <rFont val="Tahoma"/>
            <family val="2"/>
          </rPr>
          <t>Melissa Thomas:</t>
        </r>
        <r>
          <rPr>
            <sz val="9"/>
            <color indexed="81"/>
            <rFont val="Tahoma"/>
            <family val="2"/>
          </rPr>
          <t xml:space="preserve">
Please see addition of Digital Ads to this line</t>
        </r>
      </text>
    </comment>
    <comment ref="P17" authorId="2" shapeId="0" xr:uid="{00000000-0006-0000-3100-000004000000}">
      <text>
        <r>
          <rPr>
            <b/>
            <sz val="9"/>
            <color indexed="81"/>
            <rFont val="Tahoma"/>
            <family val="2"/>
          </rPr>
          <t>Melissa Thomas:</t>
        </r>
        <r>
          <rPr>
            <sz val="9"/>
            <color indexed="81"/>
            <rFont val="Tahoma"/>
            <family val="2"/>
          </rPr>
          <t xml:space="preserve">
Doubling this request as there will be a 3rd person in this budget and Lisa has been approved to attend a digital conference in May
</t>
        </r>
      </text>
    </comment>
    <comment ref="P18" authorId="2" shapeId="0" xr:uid="{00000000-0006-0000-3100-000005000000}">
      <text>
        <r>
          <rPr>
            <b/>
            <sz val="9"/>
            <color indexed="81"/>
            <rFont val="Tahoma"/>
            <family val="2"/>
          </rPr>
          <t>Melissa Thomas:</t>
        </r>
        <r>
          <rPr>
            <sz val="9"/>
            <color indexed="81"/>
            <rFont val="Tahoma"/>
            <family val="2"/>
          </rPr>
          <t xml:space="preserve">
can be used for software subscriptions</t>
        </r>
      </text>
    </comment>
    <comment ref="N23" authorId="0" shapeId="0" xr:uid="{00000000-0006-0000-3100-000006000000}">
      <text>
        <r>
          <rPr>
            <b/>
            <sz val="9"/>
            <color indexed="81"/>
            <rFont val="Tahoma"/>
            <family val="2"/>
          </rPr>
          <t>Kurt MacMillan:</t>
        </r>
        <r>
          <rPr>
            <sz val="9"/>
            <color indexed="81"/>
            <rFont val="Tahoma"/>
            <family val="2"/>
          </rPr>
          <t xml:space="preserve">
Got a new camera for more video projects so this should be used</t>
        </r>
      </text>
    </comment>
    <comment ref="N24" authorId="0" shapeId="0" xr:uid="{00000000-0006-0000-3100-000007000000}">
      <text>
        <r>
          <rPr>
            <b/>
            <sz val="9"/>
            <color indexed="81"/>
            <rFont val="Tahoma"/>
            <family val="2"/>
          </rPr>
          <t>Kurt MacMillan:</t>
        </r>
        <r>
          <rPr>
            <sz val="9"/>
            <color indexed="81"/>
            <rFont val="Tahoma"/>
            <family val="2"/>
          </rPr>
          <t xml:space="preserve">
Budget in case we can add special features on our Web. </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Carly McCready</author>
    <author>Kurt MacMillan</author>
  </authors>
  <commentList>
    <comment ref="F13" authorId="0" shapeId="0" xr:uid="{00000000-0006-0000-3200-000001000000}">
      <text>
        <r>
          <rPr>
            <b/>
            <sz val="9"/>
            <color indexed="81"/>
            <rFont val="Tahoma"/>
            <family val="2"/>
          </rPr>
          <t>Carly McCready:</t>
        </r>
        <r>
          <rPr>
            <sz val="9"/>
            <color indexed="81"/>
            <rFont val="Tahoma"/>
            <family val="2"/>
          </rPr>
          <t xml:space="preserve">
discount received because of large service issues (delivery times not met)</t>
        </r>
      </text>
    </comment>
    <comment ref="M17" authorId="1" shapeId="0" xr:uid="{00000000-0006-0000-3200-000002000000}">
      <text>
        <r>
          <rPr>
            <b/>
            <sz val="9"/>
            <color indexed="81"/>
            <rFont val="Tahoma"/>
            <family val="2"/>
          </rPr>
          <t>Kurt MacMillan:</t>
        </r>
        <r>
          <rPr>
            <sz val="9"/>
            <color indexed="81"/>
            <rFont val="Tahoma"/>
            <family val="2"/>
          </rPr>
          <t xml:space="preserve">
Handbook is profitable from external advertising efforts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Natasha Pozega</author>
    <author>Windows User</author>
    <author>David Collins</author>
    <author>s4cook</author>
  </authors>
  <commentList>
    <comment ref="K9" authorId="0" shapeId="0" xr:uid="{00000000-0006-0000-0600-000001000000}">
      <text>
        <r>
          <rPr>
            <b/>
            <sz val="9"/>
            <color indexed="81"/>
            <rFont val="Tahoma"/>
            <family val="2"/>
          </rPr>
          <t>Natasha Pozega:</t>
        </r>
        <r>
          <rPr>
            <sz val="9"/>
            <color indexed="81"/>
            <rFont val="Tahoma"/>
            <family val="2"/>
          </rPr>
          <t xml:space="preserve">
15 hours a week for 12 weeks per term for a year at the new minnimum wage of $11 and including vacation pay.
</t>
        </r>
      </text>
    </comment>
    <comment ref="U10" authorId="1" shapeId="0" xr:uid="{00000000-0006-0000-0600-000002000000}">
      <text>
        <r>
          <rPr>
            <b/>
            <sz val="9"/>
            <color indexed="81"/>
            <rFont val="Tahoma"/>
            <charset val="1"/>
          </rPr>
          <t>Windows User:</t>
        </r>
        <r>
          <rPr>
            <sz val="9"/>
            <color indexed="81"/>
            <rFont val="Tahoma"/>
            <charset val="1"/>
          </rPr>
          <t xml:space="preserve">
Part of Board approved plan proposed by VPED in Winter 2019</t>
        </r>
      </text>
    </comment>
    <comment ref="I15" authorId="2" shapeId="0" xr:uid="{00000000-0006-0000-0600-000003000000}">
      <text>
        <r>
          <rPr>
            <b/>
            <sz val="8"/>
            <color indexed="81"/>
            <rFont val="Tahoma"/>
            <family val="2"/>
          </rPr>
          <t>David Collins:</t>
        </r>
        <r>
          <rPr>
            <sz val="8"/>
            <color indexed="81"/>
            <rFont val="Tahoma"/>
            <family val="2"/>
          </rPr>
          <t xml:space="preserve">
??? What is this for?</t>
        </r>
      </text>
    </comment>
    <comment ref="C18" authorId="3" shapeId="0" xr:uid="{00000000-0006-0000-0600-000004000000}">
      <text>
        <r>
          <rPr>
            <b/>
            <sz val="8"/>
            <color indexed="81"/>
            <rFont val="Tahoma"/>
            <family val="2"/>
          </rPr>
          <t>s4cook:</t>
        </r>
        <r>
          <rPr>
            <sz val="8"/>
            <color indexed="81"/>
            <rFont val="Tahoma"/>
            <family val="2"/>
          </rPr>
          <t xml:space="preserve">
- software</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Windows User</author>
    <author>Melissa Thomas</author>
    <author>Kurt MacMillan</author>
  </authors>
  <commentList>
    <comment ref="K6" authorId="0" shapeId="0" xr:uid="{00000000-0006-0000-3300-000001000000}">
      <text>
        <r>
          <rPr>
            <sz val="9"/>
            <color indexed="81"/>
            <rFont val="Tahoma"/>
            <family val="2"/>
          </rPr>
          <t xml:space="preserve">Transferred in by President's budget.
</t>
        </r>
      </text>
    </comment>
    <comment ref="K15" authorId="1" shapeId="0" xr:uid="{00000000-0006-0000-3300-000002000000}">
      <text>
        <r>
          <rPr>
            <b/>
            <sz val="9"/>
            <color indexed="81"/>
            <rFont val="Tahoma"/>
            <family val="2"/>
          </rPr>
          <t>Melissa Thomas:</t>
        </r>
        <r>
          <rPr>
            <sz val="9"/>
            <color indexed="81"/>
            <rFont val="Tahoma"/>
            <family val="2"/>
          </rPr>
          <t xml:space="preserve">
Previously used for all proofs and other general printing costs, as well as cost of printing advocacy documents. Going to put this into advocacy marketing line instead and move proofs (etc) into their applicable lines as well, to make print log easier.</t>
        </r>
      </text>
    </comment>
    <comment ref="K17" authorId="1" shapeId="0" xr:uid="{00000000-0006-0000-3300-000003000000}">
      <text>
        <r>
          <rPr>
            <b/>
            <sz val="9"/>
            <color indexed="81"/>
            <rFont val="Tahoma"/>
            <family val="2"/>
          </rPr>
          <t>Melissa Thomas:</t>
        </r>
        <r>
          <rPr>
            <sz val="9"/>
            <color indexed="81"/>
            <rFont val="Tahoma"/>
            <family val="2"/>
          </rPr>
          <t xml:space="preserve">
staff meetings/ brainstorms.</t>
        </r>
      </text>
    </comment>
    <comment ref="K18" authorId="1" shapeId="0" xr:uid="{00000000-0006-0000-3300-000004000000}">
      <text>
        <r>
          <rPr>
            <b/>
            <sz val="9"/>
            <color indexed="81"/>
            <rFont val="Tahoma"/>
            <family val="2"/>
          </rPr>
          <t>Melissa Thomas:</t>
        </r>
        <r>
          <rPr>
            <sz val="9"/>
            <color indexed="81"/>
            <rFont val="Tahoma"/>
            <family val="2"/>
          </rPr>
          <t xml:space="preserve">
Removing general amounts from here and moving into their own specific lines</t>
        </r>
      </text>
    </comment>
    <comment ref="K21" authorId="1" shapeId="0" xr:uid="{00000000-0006-0000-3300-000005000000}">
      <text>
        <r>
          <rPr>
            <b/>
            <sz val="9"/>
            <color indexed="81"/>
            <rFont val="Tahoma"/>
            <family val="2"/>
          </rPr>
          <t>Melissa Thomas:</t>
        </r>
        <r>
          <rPr>
            <sz val="9"/>
            <color indexed="81"/>
            <rFont val="Tahoma"/>
            <family val="2"/>
          </rPr>
          <t xml:space="preserve">
Leadership Awards and anything outside of Advocacy/Elections that comes up</t>
        </r>
      </text>
    </comment>
    <comment ref="K22" authorId="1" shapeId="0" xr:uid="{00000000-0006-0000-3300-000006000000}">
      <text>
        <r>
          <rPr>
            <b/>
            <sz val="9"/>
            <color indexed="81"/>
            <rFont val="Tahoma"/>
            <family val="2"/>
          </rPr>
          <t>Melissa Thomas:</t>
        </r>
        <r>
          <rPr>
            <sz val="9"/>
            <color indexed="81"/>
            <rFont val="Tahoma"/>
            <family val="2"/>
          </rPr>
          <t xml:space="preserve">
Federal Election, SCI and Feds rebrand</t>
        </r>
      </text>
    </comment>
    <comment ref="I23" authorId="1" shapeId="0" xr:uid="{00000000-0006-0000-3300-000007000000}">
      <text>
        <r>
          <rPr>
            <b/>
            <sz val="9"/>
            <color indexed="81"/>
            <rFont val="Tahoma"/>
            <family val="2"/>
          </rPr>
          <t>Melissa Thomas:</t>
        </r>
        <r>
          <rPr>
            <sz val="9"/>
            <color indexed="81"/>
            <rFont val="Tahoma"/>
            <family val="2"/>
          </rPr>
          <t xml:space="preserve">
Brought this back under mktg budget from Pres
</t>
        </r>
      </text>
    </comment>
    <comment ref="K23" authorId="1" shapeId="0" xr:uid="{00000000-0006-0000-3300-000008000000}">
      <text>
        <r>
          <rPr>
            <b/>
            <sz val="9"/>
            <color indexed="81"/>
            <rFont val="Tahoma"/>
            <family val="2"/>
          </rPr>
          <t>Melissa Thomas:</t>
        </r>
        <r>
          <rPr>
            <sz val="9"/>
            <color indexed="81"/>
            <rFont val="Tahoma"/>
            <family val="2"/>
          </rPr>
          <t xml:space="preserve">
Rebrand (need to print new signage - $2000 additional dollars for this, this year - unless Seneca secures SLEF money, in which case $3,000), preparing for by-elections and referendums</t>
        </r>
      </text>
    </comment>
    <comment ref="I30" authorId="2" shapeId="0" xr:uid="{00000000-0006-0000-3300-000009000000}">
      <text>
        <r>
          <rPr>
            <b/>
            <sz val="9"/>
            <color indexed="81"/>
            <rFont val="Tahoma"/>
            <family val="2"/>
          </rPr>
          <t>Kurt MacMillan:</t>
        </r>
        <r>
          <rPr>
            <sz val="9"/>
            <color indexed="81"/>
            <rFont val="Tahoma"/>
            <family val="2"/>
          </rPr>
          <t xml:space="preserve">
Increased from last year's budget due to advertising elections line coming back to this portfolio</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Melissa Thomas</author>
  </authors>
  <commentList>
    <comment ref="L18" authorId="0" shapeId="0" xr:uid="{00000000-0006-0000-3400-000001000000}">
      <text>
        <r>
          <rPr>
            <b/>
            <sz val="9"/>
            <color indexed="81"/>
            <rFont val="Tahoma"/>
            <family val="2"/>
          </rPr>
          <t>Melissa Thomas:</t>
        </r>
        <r>
          <rPr>
            <sz val="9"/>
            <color indexed="81"/>
            <rFont val="Tahoma"/>
            <family val="2"/>
          </rPr>
          <t xml:space="preserve">
SP: Campus Life Fair (need new banner), Beach Trip, FA/WI: CLF</t>
        </r>
      </text>
    </comment>
    <comment ref="L19" authorId="0" shapeId="0" xr:uid="{00000000-0006-0000-3400-000002000000}">
      <text>
        <r>
          <rPr>
            <b/>
            <sz val="9"/>
            <color indexed="81"/>
            <rFont val="Tahoma"/>
            <family val="2"/>
          </rPr>
          <t>Melissa Thomas:</t>
        </r>
        <r>
          <rPr>
            <sz val="9"/>
            <color indexed="81"/>
            <rFont val="Tahoma"/>
            <family val="2"/>
          </rPr>
          <t xml:space="preserve">
Every term: Hiring, Spring: BBQ</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Alexander Kelley</author>
    <author>Windows User</author>
    <author>Melissa Thomas</author>
    <author>Kurt MacMillan</author>
  </authors>
  <commentList>
    <comment ref="D15" authorId="0" shapeId="0" xr:uid="{00000000-0006-0000-3600-000001000000}">
      <text>
        <r>
          <rPr>
            <b/>
            <sz val="9"/>
            <color indexed="81"/>
            <rFont val="Tahoma"/>
            <family val="2"/>
          </rPr>
          <t>Alexander Kelley:</t>
        </r>
        <r>
          <rPr>
            <sz val="9"/>
            <color indexed="81"/>
            <rFont val="Tahoma"/>
            <family val="2"/>
          </rPr>
          <t xml:space="preserve">
Big asks with Marketing Research meetings with several campus partners.  + societies C&amp;Ds
 </t>
        </r>
      </text>
    </comment>
    <comment ref="D16" authorId="0" shapeId="0" xr:uid="{00000000-0006-0000-3600-000002000000}">
      <text>
        <r>
          <rPr>
            <b/>
            <sz val="9"/>
            <color indexed="81"/>
            <rFont val="Tahoma"/>
            <family val="2"/>
          </rPr>
          <t>Alexander Kelley:</t>
        </r>
        <r>
          <rPr>
            <sz val="9"/>
            <color indexed="81"/>
            <rFont val="Tahoma"/>
            <family val="2"/>
          </rPr>
          <t xml:space="preserve">
Promotional support for entire portfolio
</t>
        </r>
      </text>
    </comment>
    <comment ref="D17" authorId="0" shapeId="0" xr:uid="{00000000-0006-0000-3600-000003000000}">
      <text>
        <r>
          <rPr>
            <b/>
            <sz val="9"/>
            <color indexed="81"/>
            <rFont val="Tahoma"/>
            <family val="2"/>
          </rPr>
          <t>Alexander Kelley:</t>
        </r>
        <r>
          <rPr>
            <sz val="9"/>
            <color indexed="81"/>
            <rFont val="Tahoma"/>
            <family val="2"/>
          </rPr>
          <t xml:space="preserve">
Department line might not cover expeiences with marketing information
</t>
        </r>
      </text>
    </comment>
    <comment ref="F18" authorId="1" shapeId="0" xr:uid="{00000000-0006-0000-3600-000004000000}">
      <text>
        <r>
          <rPr>
            <b/>
            <sz val="9"/>
            <color indexed="81"/>
            <rFont val="Tahoma"/>
            <family val="2"/>
          </rPr>
          <t>Windows User:</t>
        </r>
        <r>
          <rPr>
            <sz val="9"/>
            <color indexed="81"/>
            <rFont val="Tahoma"/>
            <family val="2"/>
          </rPr>
          <t xml:space="preserve">
Cut by $350, as most should be covered in "Advertising All Clubs" line</t>
        </r>
      </text>
    </comment>
    <comment ref="D19" authorId="0" shapeId="0" xr:uid="{00000000-0006-0000-3600-000005000000}">
      <text>
        <r>
          <rPr>
            <b/>
            <sz val="9"/>
            <color indexed="81"/>
            <rFont val="Tahoma"/>
            <family val="2"/>
          </rPr>
          <t>Alexander Kelley:</t>
        </r>
        <r>
          <rPr>
            <sz val="9"/>
            <color indexed="81"/>
            <rFont val="Tahoma"/>
            <family val="2"/>
          </rPr>
          <t xml:space="preserve">
New brand + awareness campaigns 
</t>
        </r>
      </text>
    </comment>
    <comment ref="D20" authorId="0" shapeId="0" xr:uid="{00000000-0006-0000-3600-000006000000}">
      <text>
        <r>
          <rPr>
            <b/>
            <sz val="9"/>
            <color indexed="81"/>
            <rFont val="Tahoma"/>
            <family val="2"/>
          </rPr>
          <t>Alexander Kelley:</t>
        </r>
        <r>
          <rPr>
            <sz val="9"/>
            <color indexed="81"/>
            <rFont val="Tahoma"/>
            <family val="2"/>
          </rPr>
          <t xml:space="preserve">
relaunching the program
--Will likely only be high one year
</t>
        </r>
      </text>
    </comment>
    <comment ref="F20" authorId="2" shapeId="0" xr:uid="{00000000-0006-0000-3600-000007000000}">
      <text>
        <r>
          <rPr>
            <sz val="9"/>
            <color indexed="81"/>
            <rFont val="Tahoma"/>
            <family val="2"/>
          </rPr>
          <t>Moved into 16600 as most benefits are for comm ops and operations areas.</t>
        </r>
      </text>
    </comment>
    <comment ref="D21" authorId="0" shapeId="0" xr:uid="{00000000-0006-0000-3600-000008000000}">
      <text>
        <r>
          <rPr>
            <b/>
            <sz val="9"/>
            <color indexed="81"/>
            <rFont val="Tahoma"/>
            <family val="2"/>
          </rPr>
          <t>Alexander Kelley:</t>
        </r>
        <r>
          <rPr>
            <sz val="9"/>
            <color indexed="81"/>
            <rFont val="Tahoma"/>
            <family val="2"/>
          </rPr>
          <t xml:space="preserve">
Signage and awareness
</t>
        </r>
      </text>
    </comment>
    <comment ref="F21" authorId="2" shapeId="0" xr:uid="{00000000-0006-0000-3600-000009000000}">
      <text>
        <r>
          <rPr>
            <b/>
            <sz val="9"/>
            <color indexed="81"/>
            <rFont val="Tahoma"/>
            <family val="2"/>
          </rPr>
          <t>Melissa Thomas:</t>
        </r>
        <r>
          <rPr>
            <sz val="9"/>
            <color indexed="81"/>
            <rFont val="Tahoma"/>
            <family val="2"/>
          </rPr>
          <t xml:space="preserve">
They have bigger plans this year. Didn't spend much last year but this year $300 should be enough. </t>
        </r>
      </text>
    </comment>
    <comment ref="D22" authorId="0" shapeId="0" xr:uid="{00000000-0006-0000-3600-00000A000000}">
      <text>
        <r>
          <rPr>
            <b/>
            <sz val="9"/>
            <color indexed="81"/>
            <rFont val="Tahoma"/>
            <family val="2"/>
          </rPr>
          <t>Alexander Kelley:</t>
        </r>
        <r>
          <rPr>
            <sz val="9"/>
            <color indexed="81"/>
            <rFont val="Tahoma"/>
            <family val="2"/>
          </rPr>
          <t xml:space="preserve">
Clubs and Societies Day &amp; Feds Awards (3times a year)--Clubs Showcase (First year)</t>
        </r>
      </text>
    </comment>
    <comment ref="F22" authorId="2" shapeId="0" xr:uid="{00000000-0006-0000-3600-00000B000000}">
      <text>
        <r>
          <rPr>
            <b/>
            <sz val="9"/>
            <color indexed="81"/>
            <rFont val="Tahoma"/>
            <family val="2"/>
          </rPr>
          <t>Melissa Thomas:</t>
        </r>
        <r>
          <rPr>
            <sz val="9"/>
            <color indexed="81"/>
            <rFont val="Tahoma"/>
            <family val="2"/>
          </rPr>
          <t xml:space="preserve">
Didn't use much last year but sounds like Clubs week will be ramped up and my pd events for students will evolve. </t>
        </r>
      </text>
    </comment>
    <comment ref="D23" authorId="0" shapeId="0" xr:uid="{00000000-0006-0000-3600-00000C000000}">
      <text>
        <r>
          <rPr>
            <b/>
            <sz val="9"/>
            <color indexed="81"/>
            <rFont val="Tahoma"/>
            <family val="2"/>
          </rPr>
          <t>Alexander Kelley:</t>
        </r>
        <r>
          <rPr>
            <sz val="9"/>
            <color indexed="81"/>
            <rFont val="Tahoma"/>
            <family val="2"/>
          </rPr>
          <t xml:space="preserve">
Buying Data, Awareness, prizes
</t>
        </r>
      </text>
    </comment>
    <comment ref="F24" authorId="2" shapeId="0" xr:uid="{00000000-0006-0000-3600-00000D000000}">
      <text>
        <r>
          <rPr>
            <b/>
            <sz val="9"/>
            <color indexed="81"/>
            <rFont val="Tahoma"/>
            <family val="2"/>
          </rPr>
          <t>Melissa Thomas:</t>
        </r>
        <r>
          <rPr>
            <sz val="9"/>
            <color indexed="81"/>
            <rFont val="Tahoma"/>
            <family val="2"/>
          </rPr>
          <t xml:space="preserve">
Subscription for design team and marketing execs to benieft from--in the Clubs community centre--Ad age</t>
        </r>
      </text>
    </comment>
    <comment ref="D26" authorId="0" shapeId="0" xr:uid="{00000000-0006-0000-3600-00000E000000}">
      <text>
        <r>
          <rPr>
            <b/>
            <sz val="9"/>
            <color indexed="81"/>
            <rFont val="Tahoma"/>
            <family val="2"/>
          </rPr>
          <t xml:space="preserve">Alexander Kelley: 
</t>
        </r>
        <r>
          <rPr>
            <sz val="9"/>
            <color indexed="81"/>
            <rFont val="Tahoma"/>
            <family val="2"/>
          </rPr>
          <t xml:space="preserve">Awareness and Prizing  - first year--next year will be lower
</t>
        </r>
        <r>
          <rPr>
            <b/>
            <sz val="9"/>
            <color indexed="81"/>
            <rFont val="Tahoma"/>
            <family val="2"/>
          </rPr>
          <t xml:space="preserve">
</t>
        </r>
      </text>
    </comment>
    <comment ref="F27" authorId="2" shapeId="0" xr:uid="{00000000-0006-0000-3600-00000F000000}">
      <text>
        <r>
          <rPr>
            <b/>
            <sz val="9"/>
            <color indexed="81"/>
            <rFont val="Tahoma"/>
            <family val="2"/>
          </rPr>
          <t>Melissa Thomas:</t>
        </r>
        <r>
          <rPr>
            <sz val="9"/>
            <color indexed="81"/>
            <rFont val="Tahoma"/>
            <family val="2"/>
          </rPr>
          <t xml:space="preserve">
planning to use to help with the SayHi Campaign </t>
        </r>
      </text>
    </comment>
    <comment ref="D33" authorId="3" shapeId="0" xr:uid="{00000000-0006-0000-3600-000010000000}">
      <text>
        <r>
          <rPr>
            <b/>
            <sz val="9"/>
            <color indexed="81"/>
            <rFont val="Tahoma"/>
            <family val="2"/>
          </rPr>
          <t>Kurt MacMillan:</t>
        </r>
        <r>
          <rPr>
            <sz val="9"/>
            <color indexed="81"/>
            <rFont val="Tahoma"/>
            <family val="2"/>
          </rPr>
          <t xml:space="preserve">
New position to help marketing efforts with our clubs student engagement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Natasha Pozega</author>
    <author>Ben Balfour</author>
    <author>Kurt MacMillan</author>
    <author>Windows User</author>
    <author>Kumar Patel</author>
  </authors>
  <commentList>
    <comment ref="I9" authorId="0" shapeId="0" xr:uid="{00000000-0006-0000-0700-000001000000}">
      <text>
        <r>
          <rPr>
            <b/>
            <sz val="8"/>
            <color indexed="81"/>
            <rFont val="Tahoma"/>
            <family val="2"/>
          </rPr>
          <t>Natasha Pozega:</t>
        </r>
        <r>
          <rPr>
            <sz val="8"/>
            <color indexed="81"/>
            <rFont val="Tahoma"/>
            <family val="2"/>
          </rPr>
          <t xml:space="preserve">
Poll Clerks</t>
        </r>
      </text>
    </comment>
    <comment ref="K9" authorId="1" shapeId="0" xr:uid="{00000000-0006-0000-0700-000002000000}">
      <text>
        <r>
          <rPr>
            <b/>
            <sz val="9"/>
            <color indexed="81"/>
            <rFont val="Tahoma"/>
            <family val="2"/>
          </rPr>
          <t>Ben Balfour:</t>
        </r>
        <r>
          <rPr>
            <sz val="9"/>
            <color indexed="81"/>
            <rFont val="Tahoma"/>
            <family val="2"/>
          </rPr>
          <t xml:space="preserve">
450/term based on Anne Marie's estimates
</t>
        </r>
      </text>
    </comment>
    <comment ref="S9" authorId="2" shapeId="0" xr:uid="{00000000-0006-0000-0700-000003000000}">
      <text>
        <r>
          <rPr>
            <b/>
            <sz val="9"/>
            <color indexed="81"/>
            <rFont val="Tahoma"/>
            <family val="2"/>
          </rPr>
          <t>Kurt MacMillan:</t>
        </r>
        <r>
          <rPr>
            <sz val="9"/>
            <color indexed="81"/>
            <rFont val="Tahoma"/>
            <family val="2"/>
          </rPr>
          <t xml:space="preserve">
Excepting more PT roles due to more student engagement</t>
        </r>
      </text>
    </comment>
    <comment ref="U9" authorId="2" shapeId="0" xr:uid="{00000000-0006-0000-0700-000004000000}">
      <text>
        <r>
          <rPr>
            <sz val="9"/>
            <color indexed="81"/>
            <rFont val="Tahoma"/>
            <family val="2"/>
          </rPr>
          <t>Intended to share GEC role and for CRO budget moved back to elections rather than RPO budget.</t>
        </r>
      </text>
    </comment>
    <comment ref="U13" authorId="3" shapeId="0" xr:uid="{00000000-0006-0000-0700-000005000000}">
      <text>
        <r>
          <rPr>
            <b/>
            <sz val="9"/>
            <color indexed="81"/>
            <rFont val="Tahoma"/>
            <family val="2"/>
          </rPr>
          <t>Windows User:</t>
        </r>
        <r>
          <rPr>
            <sz val="9"/>
            <color indexed="81"/>
            <rFont val="Tahoma"/>
            <family val="2"/>
          </rPr>
          <t xml:space="preserve">
Subsumed under Marketing Budget. Polling Clerks will be Promo team members to increase engagement opportunities.</t>
        </r>
      </text>
    </comment>
    <comment ref="G19" authorId="4" shapeId="0" xr:uid="{00000000-0006-0000-0700-000006000000}">
      <text>
        <r>
          <rPr>
            <b/>
            <sz val="8"/>
            <color indexed="81"/>
            <rFont val="Tahoma"/>
            <family val="2"/>
          </rPr>
          <t>Kumar Patel:</t>
        </r>
        <r>
          <rPr>
            <sz val="8"/>
            <color indexed="81"/>
            <rFont val="Tahoma"/>
            <family val="2"/>
          </rPr>
          <t xml:space="preserve">
Moving forward all advertising will be absorbed in general marketing budget</t>
        </r>
      </text>
    </comment>
    <comment ref="S19" authorId="2" shapeId="0" xr:uid="{00000000-0006-0000-0700-000007000000}">
      <text>
        <r>
          <rPr>
            <b/>
            <sz val="9"/>
            <color indexed="81"/>
            <rFont val="Tahoma"/>
            <family val="2"/>
          </rPr>
          <t>Kurt MacMillan:</t>
        </r>
        <r>
          <rPr>
            <sz val="9"/>
            <color indexed="81"/>
            <rFont val="Tahoma"/>
            <family val="2"/>
          </rPr>
          <t xml:space="preserve">
Moved to Marketing's budget</t>
        </r>
      </text>
    </comment>
    <comment ref="G20" authorId="4" shapeId="0" xr:uid="{00000000-0006-0000-0700-000008000000}">
      <text>
        <r>
          <rPr>
            <b/>
            <sz val="8"/>
            <color indexed="81"/>
            <rFont val="Tahoma"/>
            <family val="2"/>
          </rPr>
          <t>Kumar Patel:</t>
        </r>
        <r>
          <rPr>
            <sz val="8"/>
            <color indexed="81"/>
            <rFont val="Tahoma"/>
            <family val="2"/>
          </rPr>
          <t xml:space="preserve">
Noble: Very difficult to predict. Could see decreased or increased need following our elections &amp; governance reviews.</t>
        </r>
      </text>
    </comment>
    <comment ref="S20" authorId="2" shapeId="0" xr:uid="{00000000-0006-0000-0700-000009000000}">
      <text>
        <r>
          <rPr>
            <b/>
            <sz val="9"/>
            <color indexed="81"/>
            <rFont val="Tahoma"/>
            <family val="2"/>
          </rPr>
          <t>Kurt MacMillan:</t>
        </r>
        <r>
          <rPr>
            <sz val="9"/>
            <color indexed="81"/>
            <rFont val="Tahoma"/>
            <family val="2"/>
          </rPr>
          <t xml:space="preserve">
Planning for increased student election engagement</t>
        </r>
      </text>
    </comment>
    <comment ref="T22" authorId="3" shapeId="0" xr:uid="{00000000-0006-0000-0700-00000A000000}">
      <text>
        <r>
          <rPr>
            <b/>
            <sz val="9"/>
            <color indexed="81"/>
            <rFont val="Tahoma"/>
            <family val="2"/>
          </rPr>
          <t>Windows User:</t>
        </r>
        <r>
          <rPr>
            <sz val="9"/>
            <color indexed="81"/>
            <rFont val="Tahoma"/>
            <family val="2"/>
          </rPr>
          <t xml:space="preserve">
Candidate rebates, elections costs, and referendum costs were very large due to former bylaw requirements on by-elections. Should be fixed now that bylaws have been sorted out.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R7" authorId="0" shapeId="0" xr:uid="{00000000-0006-0000-0800-000001000000}">
      <text>
        <r>
          <rPr>
            <b/>
            <sz val="9"/>
            <color indexed="81"/>
            <rFont val="Tahoma"/>
            <charset val="1"/>
          </rPr>
          <t>Windows User:</t>
        </r>
        <r>
          <rPr>
            <sz val="9"/>
            <color indexed="81"/>
            <rFont val="Tahoma"/>
            <charset val="1"/>
          </rPr>
          <t xml:space="preserve">
Discontinued. Responsibilities subsumed under the President by Bylaw changes and Council directive.</t>
        </r>
      </text>
    </comment>
    <comment ref="T8" authorId="0" shapeId="0" xr:uid="{00000000-0006-0000-0800-000002000000}">
      <text>
        <r>
          <rPr>
            <b/>
            <sz val="9"/>
            <color indexed="81"/>
            <rFont val="Tahoma"/>
            <charset val="1"/>
          </rPr>
          <t>Windows User:</t>
        </r>
        <r>
          <rPr>
            <sz val="9"/>
            <color indexed="81"/>
            <rFont val="Tahoma"/>
            <charset val="1"/>
          </rPr>
          <t xml:space="preserve">
Created by VPSL in Winter 2019 (transition), ratified by Council.
</t>
        </r>
      </text>
    </comment>
    <comment ref="R31" authorId="0" shapeId="0" xr:uid="{00000000-0006-0000-0800-000003000000}">
      <text>
        <r>
          <rPr>
            <b/>
            <sz val="9"/>
            <color indexed="81"/>
            <rFont val="Tahoma"/>
            <charset val="1"/>
          </rPr>
          <t>Windows User:</t>
        </r>
        <r>
          <rPr>
            <sz val="9"/>
            <color indexed="81"/>
            <rFont val="Tahoma"/>
            <charset val="1"/>
          </rPr>
          <t xml:space="preserve">
Discontinued. Responsibilities subsumed under the President by Bylaw changes and Council directive.</t>
        </r>
      </text>
    </comment>
    <comment ref="T32" authorId="0" shapeId="0" xr:uid="{00000000-0006-0000-0800-000004000000}">
      <text>
        <r>
          <rPr>
            <b/>
            <sz val="9"/>
            <color indexed="81"/>
            <rFont val="Tahoma"/>
            <charset val="1"/>
          </rPr>
          <t>Windows User:</t>
        </r>
        <r>
          <rPr>
            <sz val="9"/>
            <color indexed="81"/>
            <rFont val="Tahoma"/>
            <charset val="1"/>
          </rPr>
          <t xml:space="preserve">
Created by VPSL in Winter 2019 (transition), ratified by Council.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s4cook</author>
    <author>Matt Colphon</author>
    <author>Kumar Patel</author>
    <author>Devin J. Drury</author>
    <author>Natasha Pozega</author>
    <author>Savannah Richardson</author>
    <author>nbest</author>
    <author>Benjamin Balfour</author>
    <author>Windows User</author>
    <author>Carly McCready</author>
    <author>Kurt MacMillan</author>
    <author>Brian Schwan</author>
    <author>Clark</author>
    <author>decapper</author>
  </authors>
  <commentList>
    <comment ref="C9" authorId="0" shapeId="0" xr:uid="{00000000-0006-0000-0900-000001000000}">
      <text>
        <r>
          <rPr>
            <b/>
            <sz val="8"/>
            <color indexed="81"/>
            <rFont val="Tahoma"/>
            <family val="2"/>
          </rPr>
          <t>s4cook:</t>
        </r>
        <r>
          <rPr>
            <sz val="8"/>
            <color indexed="81"/>
            <rFont val="Tahoma"/>
            <family val="2"/>
          </rPr>
          <t xml:space="preserve">
-increased by inflation
</t>
        </r>
      </text>
    </comment>
    <comment ref="E9" authorId="1" shapeId="0" xr:uid="{00000000-0006-0000-0900-000002000000}">
      <text>
        <r>
          <rPr>
            <b/>
            <sz val="8"/>
            <color indexed="81"/>
            <rFont val="Tahoma"/>
            <family val="2"/>
          </rPr>
          <t>Matt Colphon:</t>
        </r>
        <r>
          <rPr>
            <sz val="8"/>
            <color indexed="81"/>
            <rFont val="Tahoma"/>
            <family val="2"/>
          </rPr>
          <t xml:space="preserve">
included CPI increase to previous, need number</t>
        </r>
      </text>
    </comment>
    <comment ref="G9" authorId="2" shapeId="0" xr:uid="{00000000-0006-0000-0900-000003000000}">
      <text>
        <r>
          <rPr>
            <b/>
            <sz val="8"/>
            <color indexed="81"/>
            <rFont val="Tahoma"/>
            <family val="2"/>
          </rPr>
          <t>Kumar Patel:</t>
        </r>
        <r>
          <rPr>
            <sz val="8"/>
            <color indexed="81"/>
            <rFont val="Tahoma"/>
            <family val="2"/>
          </rPr>
          <t xml:space="preserve">
2.5% CPI increase</t>
        </r>
      </text>
    </comment>
    <comment ref="I9" authorId="3" shapeId="0" xr:uid="{00000000-0006-0000-0900-000004000000}">
      <text>
        <r>
          <rPr>
            <b/>
            <sz val="8"/>
            <color indexed="81"/>
            <rFont val="Tahoma"/>
            <family val="2"/>
          </rPr>
          <t>Devin J. Drury:</t>
        </r>
        <r>
          <rPr>
            <sz val="8"/>
            <color indexed="81"/>
            <rFont val="Tahoma"/>
            <family val="2"/>
          </rPr>
          <t xml:space="preserve">
Based on last years wage.</t>
        </r>
      </text>
    </comment>
    <comment ref="K11" authorId="4" shapeId="0" xr:uid="{00000000-0006-0000-0900-000005000000}">
      <text>
        <r>
          <rPr>
            <b/>
            <sz val="9"/>
            <color indexed="81"/>
            <rFont val="Tahoma"/>
            <family val="2"/>
          </rPr>
          <t>Natasha Pozega:</t>
        </r>
        <r>
          <rPr>
            <sz val="9"/>
            <color indexed="81"/>
            <rFont val="Tahoma"/>
            <family val="2"/>
          </rPr>
          <t xml:space="preserve">
Society relations Commissioner ($12/hr. 15hrs/wk)
</t>
        </r>
      </text>
    </comment>
    <comment ref="S11" authorId="5" shapeId="0" xr:uid="{00000000-0006-0000-0900-000006000000}">
      <text>
        <r>
          <rPr>
            <b/>
            <sz val="9"/>
            <color indexed="81"/>
            <rFont val="Tahoma"/>
            <family val="2"/>
          </rPr>
          <t>Savannah Richardson:</t>
        </r>
        <r>
          <rPr>
            <sz val="9"/>
            <color indexed="81"/>
            <rFont val="Tahoma"/>
            <family val="2"/>
          </rPr>
          <t xml:space="preserve">
Looking to increase SRC pay to match more closely what VPEd commissioners are being paid. Starting in fall 2018 I would like to increase the pay to $14.50 from $14. </t>
        </r>
      </text>
    </comment>
    <comment ref="C12" authorId="6" shapeId="0" xr:uid="{00000000-0006-0000-0900-000007000000}">
      <text>
        <r>
          <rPr>
            <b/>
            <sz val="8"/>
            <color indexed="81"/>
            <rFont val="Tahoma"/>
            <family val="2"/>
          </rPr>
          <t>nbest:</t>
        </r>
        <r>
          <rPr>
            <sz val="8"/>
            <color indexed="81"/>
            <rFont val="Tahoma"/>
            <family val="2"/>
          </rPr>
          <t xml:space="preserve">
Includes the banquet in 3 EOTs for service coords (one bomber bbq, and two fed hall events at 2700 each, 3 service coord dinners (Over 3 terms,8 services, 2 service coords each, $10 gift each, and $25 meal each), Exec appreciation for societies (pending participation with feds),  
</t>
        </r>
      </text>
    </comment>
    <comment ref="G12" authorId="2" shapeId="0" xr:uid="{00000000-0006-0000-0900-000008000000}">
      <text>
        <r>
          <rPr>
            <b/>
            <sz val="8"/>
            <color indexed="81"/>
            <rFont val="Tahoma"/>
            <family val="2"/>
          </rPr>
          <t>Kumar Patel:</t>
        </r>
        <r>
          <rPr>
            <sz val="8"/>
            <color indexed="81"/>
            <rFont val="Tahoma"/>
            <family val="2"/>
          </rPr>
          <t xml:space="preserve">
Increased to make room for higher costs following the loss of Fed Hall</t>
        </r>
      </text>
    </comment>
    <comment ref="I12" authorId="3" shapeId="0" xr:uid="{00000000-0006-0000-0900-000009000000}">
      <text>
        <r>
          <rPr>
            <b/>
            <sz val="8"/>
            <color indexed="81"/>
            <rFont val="Tahoma"/>
            <family val="2"/>
          </rPr>
          <t>Devin J. Drury:</t>
        </r>
        <r>
          <rPr>
            <sz val="8"/>
            <color indexed="81"/>
            <rFont val="Tahoma"/>
            <family val="2"/>
          </rPr>
          <t xml:space="preserve">
$5000 X 3 - Volunteer extravaganzas
</t>
        </r>
      </text>
    </comment>
    <comment ref="K12" authorId="7" shapeId="0" xr:uid="{00000000-0006-0000-0900-00000A000000}">
      <text>
        <r>
          <rPr>
            <b/>
            <sz val="9"/>
            <color indexed="81"/>
            <rFont val="Tahoma"/>
            <family val="2"/>
          </rPr>
          <t>Benjamin Balfour:</t>
        </r>
        <r>
          <rPr>
            <sz val="9"/>
            <color indexed="81"/>
            <rFont val="Tahoma"/>
            <family val="2"/>
          </rPr>
          <t xml:space="preserve">
went up 2000/term?  There is a tier system in place for VA.  </t>
        </r>
      </text>
    </comment>
    <comment ref="U12" authorId="8" shapeId="0" xr:uid="{00000000-0006-0000-0900-00000B000000}">
      <text>
        <r>
          <rPr>
            <b/>
            <sz val="9"/>
            <color indexed="81"/>
            <rFont val="Tahoma"/>
            <charset val="1"/>
          </rPr>
          <t>Windows User:</t>
        </r>
        <r>
          <rPr>
            <sz val="9"/>
            <color indexed="81"/>
            <rFont val="Tahoma"/>
            <charset val="1"/>
          </rPr>
          <t xml:space="preserve">
Includes $2000 going to Leadership awards required by Council Procedures.</t>
        </r>
      </text>
    </comment>
    <comment ref="M14" authorId="9" shapeId="0" xr:uid="{00000000-0006-0000-0900-00000C000000}">
      <text>
        <r>
          <rPr>
            <b/>
            <sz val="9"/>
            <color indexed="81"/>
            <rFont val="Tahoma"/>
            <family val="2"/>
          </rPr>
          <t>Carly McCready:</t>
        </r>
        <r>
          <rPr>
            <sz val="9"/>
            <color indexed="81"/>
            <rFont val="Tahoma"/>
            <family val="2"/>
          </rPr>
          <t xml:space="preserve">
67.80/month</t>
        </r>
      </text>
    </comment>
    <comment ref="S14" authorId="10" shapeId="0" xr:uid="{00000000-0006-0000-0900-00000D000000}">
      <text>
        <r>
          <rPr>
            <b/>
            <sz val="9"/>
            <color indexed="81"/>
            <rFont val="Tahoma"/>
            <family val="2"/>
          </rPr>
          <t>Kurt MacMillan:</t>
        </r>
        <r>
          <rPr>
            <sz val="9"/>
            <color indexed="81"/>
            <rFont val="Tahoma"/>
            <family val="2"/>
          </rPr>
          <t xml:space="preserve">
Alotted $73/month x12 months</t>
        </r>
      </text>
    </comment>
    <comment ref="U14" authorId="8" shapeId="0" xr:uid="{00000000-0006-0000-0900-00000E000000}">
      <text>
        <r>
          <rPr>
            <b/>
            <sz val="9"/>
            <color indexed="81"/>
            <rFont val="Tahoma"/>
            <family val="2"/>
          </rPr>
          <t>Windows User:</t>
        </r>
        <r>
          <rPr>
            <sz val="9"/>
            <color indexed="81"/>
            <rFont val="Tahoma"/>
            <family val="2"/>
          </rPr>
          <t xml:space="preserve">
Executive cellphone allowance discontinued at direction of President and VPOF, with some exceptions.</t>
        </r>
      </text>
    </comment>
    <comment ref="C16" authorId="6" shapeId="0" xr:uid="{00000000-0006-0000-0900-00000F000000}">
      <text>
        <r>
          <rPr>
            <b/>
            <sz val="8"/>
            <color indexed="81"/>
            <rFont val="Tahoma"/>
            <family val="2"/>
          </rPr>
          <t>nbest:</t>
        </r>
        <r>
          <rPr>
            <sz val="8"/>
            <color indexed="81"/>
            <rFont val="Tahoma"/>
            <family val="2"/>
          </rPr>
          <t xml:space="preserve">
For increase of paper from the Societies</t>
        </r>
      </text>
    </comment>
    <comment ref="I16" authorId="3" shapeId="0" xr:uid="{00000000-0006-0000-0900-000010000000}">
      <text>
        <r>
          <rPr>
            <b/>
            <sz val="8"/>
            <color indexed="81"/>
            <rFont val="Tahoma"/>
            <family val="2"/>
          </rPr>
          <t>Devin J. Drury:</t>
        </r>
        <r>
          <rPr>
            <sz val="8"/>
            <color indexed="81"/>
            <rFont val="Tahoma"/>
            <family val="2"/>
          </rPr>
          <t xml:space="preserve">
Increased/decreased to reflect Alex's spending from last year,</t>
        </r>
      </text>
    </comment>
    <comment ref="C18" authorId="6" shapeId="0" xr:uid="{00000000-0006-0000-0900-000011000000}">
      <text>
        <r>
          <rPr>
            <b/>
            <sz val="8"/>
            <color indexed="81"/>
            <rFont val="Tahoma"/>
            <family val="2"/>
          </rPr>
          <t>nbest:</t>
        </r>
        <r>
          <rPr>
            <sz val="8"/>
            <color indexed="81"/>
            <rFont val="Tahoma"/>
            <family val="2"/>
          </rPr>
          <t xml:space="preserve">
Includes a portable binder for use in 10 committees</t>
        </r>
      </text>
    </comment>
    <comment ref="G18" authorId="2" shapeId="0" xr:uid="{00000000-0006-0000-0900-000012000000}">
      <text>
        <r>
          <rPr>
            <b/>
            <sz val="8"/>
            <color indexed="81"/>
            <rFont val="Tahoma"/>
            <family val="2"/>
          </rPr>
          <t>Kumar Patel:</t>
        </r>
        <r>
          <rPr>
            <sz val="8"/>
            <color indexed="81"/>
            <rFont val="Tahoma"/>
            <family val="2"/>
          </rPr>
          <t xml:space="preserve">
$100 for VPIN OFFICE
$1200 for 3 services computers (the three that need them the most, as determined by Services Manager and IT) </t>
        </r>
      </text>
    </comment>
    <comment ref="C19" authorId="6" shapeId="0" xr:uid="{00000000-0006-0000-0900-000013000000}">
      <text>
        <r>
          <rPr>
            <b/>
            <sz val="8"/>
            <color indexed="81"/>
            <rFont val="Tahoma"/>
            <family val="2"/>
          </rPr>
          <t>nbest:</t>
        </r>
        <r>
          <rPr>
            <sz val="8"/>
            <color indexed="81"/>
            <rFont val="Tahoma"/>
            <family val="2"/>
          </rPr>
          <t xml:space="preserve">
Includes societies, COPs with $100 per society, and BOT and EOT food for COPS, IAC, IFC. Also includes business lunches.</t>
        </r>
      </text>
    </comment>
    <comment ref="C20" authorId="6" shapeId="0" xr:uid="{00000000-0006-0000-0900-000014000000}">
      <text>
        <r>
          <rPr>
            <b/>
            <sz val="8"/>
            <color indexed="81"/>
            <rFont val="Tahoma"/>
            <family val="2"/>
          </rPr>
          <t>nbest:</t>
        </r>
        <r>
          <rPr>
            <sz val="8"/>
            <color indexed="81"/>
            <rFont val="Tahoma"/>
            <family val="2"/>
          </rPr>
          <t xml:space="preserve">
For a diversity conference somewhere, and no EDGE or COCA, and already went to one for free. (OCHA)
</t>
        </r>
      </text>
    </comment>
    <comment ref="G20" authorId="2" shapeId="0" xr:uid="{00000000-0006-0000-0900-000015000000}">
      <text>
        <r>
          <rPr>
            <b/>
            <sz val="8"/>
            <color indexed="81"/>
            <rFont val="Tahoma"/>
            <family val="2"/>
          </rPr>
          <t>Kumar Patel:</t>
        </r>
        <r>
          <rPr>
            <sz val="8"/>
            <color indexed="81"/>
            <rFont val="Tahoma"/>
            <family val="2"/>
          </rPr>
          <t xml:space="preserve">
UBC SUDS Conference</t>
        </r>
      </text>
    </comment>
    <comment ref="I20" authorId="4" shapeId="0" xr:uid="{00000000-0006-0000-0900-000016000000}">
      <text>
        <r>
          <rPr>
            <b/>
            <sz val="8"/>
            <color indexed="81"/>
            <rFont val="Tahoma"/>
            <family val="2"/>
          </rPr>
          <t>Natasha Pozega:</t>
        </r>
        <r>
          <rPr>
            <sz val="8"/>
            <color indexed="81"/>
            <rFont val="Tahoma"/>
            <family val="2"/>
          </rPr>
          <t xml:space="preserve">
COCA 500 airfare, 400fee, 1100 5 nights in hotel, 300 5 days of food, 40 shuttle, 200 transportation to and from airport, </t>
        </r>
      </text>
    </comment>
    <comment ref="O20" authorId="11" shapeId="0" xr:uid="{00000000-0006-0000-0900-000017000000}">
      <text>
        <r>
          <rPr>
            <b/>
            <sz val="9"/>
            <color indexed="81"/>
            <rFont val="Tahoma"/>
            <family val="2"/>
          </rPr>
          <t>Brian Schwan:</t>
        </r>
        <r>
          <rPr>
            <sz val="9"/>
            <color indexed="81"/>
            <rFont val="Tahoma"/>
            <family val="2"/>
          </rPr>
          <t xml:space="preserve">
For travel to satelite campus- no conf planned</t>
        </r>
      </text>
    </comment>
    <comment ref="E21" authorId="12" shapeId="0" xr:uid="{00000000-0006-0000-0900-000018000000}">
      <text>
        <r>
          <rPr>
            <b/>
            <sz val="9"/>
            <color indexed="81"/>
            <rFont val="Tahoma"/>
            <family val="2"/>
          </rPr>
          <t>Kumar: Services office renovations $20000/year for 3 years</t>
        </r>
      </text>
    </comment>
    <comment ref="G21" authorId="2" shapeId="0" xr:uid="{00000000-0006-0000-0900-000019000000}">
      <text>
        <r>
          <rPr>
            <b/>
            <sz val="8"/>
            <color indexed="81"/>
            <rFont val="Tahoma"/>
            <family val="2"/>
          </rPr>
          <t>Kumar Patel:</t>
        </r>
        <r>
          <rPr>
            <sz val="8"/>
            <color indexed="81"/>
            <rFont val="Tahoma"/>
            <family val="2"/>
          </rPr>
          <t xml:space="preserve">
Service Renos ($20000), laptop ($1000)</t>
        </r>
      </text>
    </comment>
    <comment ref="C22" authorId="6" shapeId="0" xr:uid="{00000000-0006-0000-0900-00001A000000}">
      <text>
        <r>
          <rPr>
            <b/>
            <sz val="8"/>
            <color indexed="81"/>
            <rFont val="Tahoma"/>
            <family val="2"/>
          </rPr>
          <t>nbest:</t>
        </r>
        <r>
          <rPr>
            <sz val="8"/>
            <color indexed="81"/>
            <rFont val="Tahoma"/>
            <family val="2"/>
          </rPr>
          <t xml:space="preserve">
May use for new plans after service review goes out or for society bridge building initiatives
- arch lunch
- exec gear</t>
        </r>
      </text>
    </comment>
    <comment ref="G22" authorId="2" shapeId="0" xr:uid="{00000000-0006-0000-0900-00001B000000}">
      <text>
        <r>
          <rPr>
            <b/>
            <sz val="8"/>
            <color indexed="81"/>
            <rFont val="Tahoma"/>
            <family val="2"/>
          </rPr>
          <t>Kumar Patel:</t>
        </r>
        <r>
          <rPr>
            <sz val="8"/>
            <color indexed="81"/>
            <rFont val="Tahoma"/>
            <family val="2"/>
          </rPr>
          <t xml:space="preserve">
Will include some internal Services Department special projects</t>
        </r>
      </text>
    </comment>
    <comment ref="I22" authorId="3" shapeId="0" xr:uid="{00000000-0006-0000-0900-00001C000000}">
      <text>
        <r>
          <rPr>
            <b/>
            <sz val="8"/>
            <color indexed="81"/>
            <rFont val="Tahoma"/>
            <family val="2"/>
          </rPr>
          <t>Devin J. Drury:</t>
        </r>
        <r>
          <rPr>
            <sz val="8"/>
            <color indexed="81"/>
            <rFont val="Tahoma"/>
            <family val="2"/>
          </rPr>
          <t xml:space="preserve">
Projects including: 
New signs for services, clubs area, society relations</t>
        </r>
      </text>
    </comment>
    <comment ref="S22" authorId="5" shapeId="0" xr:uid="{00000000-0006-0000-0900-00001D000000}">
      <text>
        <r>
          <rPr>
            <b/>
            <sz val="9"/>
            <color indexed="81"/>
            <rFont val="Tahoma"/>
            <family val="2"/>
          </rPr>
          <t>Savannah Richardson:</t>
        </r>
        <r>
          <rPr>
            <sz val="9"/>
            <color indexed="81"/>
            <rFont val="Tahoma"/>
            <family val="2"/>
          </rPr>
          <t xml:space="preserve">
this $4250 is broken down into the three categories outlined in the next three rows </t>
        </r>
      </text>
    </comment>
    <comment ref="B23" authorId="10" shapeId="0" xr:uid="{00000000-0006-0000-0900-00001E000000}">
      <text>
        <r>
          <rPr>
            <b/>
            <sz val="9"/>
            <color indexed="81"/>
            <rFont val="Tahoma"/>
            <family val="2"/>
          </rPr>
          <t>Kurt MacMillan:</t>
        </r>
        <r>
          <rPr>
            <sz val="9"/>
            <color indexed="81"/>
            <rFont val="Tahoma"/>
            <family val="2"/>
          </rPr>
          <t xml:space="preserve">
Now Advocacy
</t>
        </r>
      </text>
    </comment>
    <comment ref="U23" authorId="8" shapeId="0" xr:uid="{00000000-0006-0000-0900-00001F000000}">
      <text>
        <r>
          <rPr>
            <b/>
            <sz val="9"/>
            <color indexed="81"/>
            <rFont val="Tahoma"/>
            <family val="2"/>
          </rPr>
          <t>Windows User:</t>
        </r>
        <r>
          <rPr>
            <sz val="9"/>
            <color indexed="81"/>
            <rFont val="Tahoma"/>
            <family val="2"/>
          </rPr>
          <t xml:space="preserve">
Moved to President's portfolio</t>
        </r>
      </text>
    </comment>
    <comment ref="I24" authorId="4" shapeId="0" xr:uid="{00000000-0006-0000-0900-000020000000}">
      <text>
        <r>
          <rPr>
            <b/>
            <sz val="8"/>
            <color indexed="81"/>
            <rFont val="Tahoma"/>
            <family val="2"/>
          </rPr>
          <t>Natasha Pozega:</t>
        </r>
        <r>
          <rPr>
            <sz val="8"/>
            <color indexed="81"/>
            <rFont val="Tahoma"/>
            <family val="2"/>
          </rPr>
          <t xml:space="preserve">
$1000/term
</t>
        </r>
      </text>
    </comment>
    <comment ref="B26" authorId="10" shapeId="0" xr:uid="{00000000-0006-0000-0900-000021000000}">
      <text>
        <r>
          <rPr>
            <b/>
            <sz val="9"/>
            <color indexed="81"/>
            <rFont val="Tahoma"/>
            <family val="2"/>
          </rPr>
          <t>Kurt MacMillan:</t>
        </r>
        <r>
          <rPr>
            <sz val="9"/>
            <color indexed="81"/>
            <rFont val="Tahoma"/>
            <family val="2"/>
          </rPr>
          <t xml:space="preserve">
New student transition </t>
        </r>
      </text>
    </comment>
    <comment ref="U26" authorId="8" shapeId="0" xr:uid="{00000000-0006-0000-0900-000022000000}">
      <text>
        <r>
          <rPr>
            <b/>
            <sz val="9"/>
            <color indexed="81"/>
            <rFont val="Tahoma"/>
            <family val="2"/>
          </rPr>
          <t>Windows User:</t>
        </r>
        <r>
          <rPr>
            <sz val="9"/>
            <color indexed="81"/>
            <rFont val="Tahoma"/>
            <family val="2"/>
          </rPr>
          <t xml:space="preserve">
Moved to President's portfolio</t>
        </r>
      </text>
    </comment>
    <comment ref="U27" authorId="8" shapeId="0" xr:uid="{00000000-0006-0000-0900-000023000000}">
      <text>
        <r>
          <rPr>
            <b/>
            <sz val="9"/>
            <color indexed="81"/>
            <rFont val="Tahoma"/>
            <charset val="1"/>
          </rPr>
          <t>Windows User:</t>
        </r>
        <r>
          <rPr>
            <sz val="9"/>
            <color indexed="81"/>
            <rFont val="Tahoma"/>
            <charset val="1"/>
          </rPr>
          <t xml:space="preserve">
New line, subsumed from transfer of Leadership Awards from Pres to VPSL approved by Council in 2018-2019 governing year</t>
        </r>
      </text>
    </comment>
    <comment ref="B28" authorId="13" shapeId="0" xr:uid="{00000000-0006-0000-0900-000024000000}">
      <text>
        <r>
          <rPr>
            <b/>
            <sz val="8"/>
            <color indexed="81"/>
            <rFont val="Tahoma"/>
            <family val="2"/>
          </rPr>
          <t>rafzaal: Line moved from Student government to VPI</t>
        </r>
        <r>
          <rPr>
            <sz val="8"/>
            <color indexed="81"/>
            <rFont val="Tahoma"/>
            <family val="2"/>
          </rPr>
          <t xml:space="preserve">
</t>
        </r>
      </text>
    </comment>
    <comment ref="G28" authorId="2" shapeId="0" xr:uid="{00000000-0006-0000-0900-000025000000}">
      <text>
        <r>
          <rPr>
            <b/>
            <sz val="8"/>
            <color indexed="81"/>
            <rFont val="Tahoma"/>
            <family val="2"/>
          </rPr>
          <t>Kumar Patel:</t>
        </r>
        <r>
          <rPr>
            <sz val="8"/>
            <color indexed="81"/>
            <rFont val="Tahoma"/>
            <family val="2"/>
          </rPr>
          <t xml:space="preserve">
will be more selective with applications</t>
        </r>
      </text>
    </comment>
    <comment ref="I28" authorId="3" shapeId="0" xr:uid="{00000000-0006-0000-0900-000026000000}">
      <text>
        <r>
          <rPr>
            <b/>
            <sz val="8"/>
            <color indexed="81"/>
            <rFont val="Tahoma"/>
            <family val="2"/>
          </rPr>
          <t>Devin J. Drury:</t>
        </r>
        <r>
          <rPr>
            <sz val="8"/>
            <color indexed="81"/>
            <rFont val="Tahoma"/>
            <family val="2"/>
          </rPr>
          <t xml:space="preserve">
Now part of Internal Administration Committee. Value same as last year. </t>
        </r>
      </text>
    </comment>
    <comment ref="O28" authorId="11" shapeId="0" xr:uid="{00000000-0006-0000-0900-000027000000}">
      <text>
        <r>
          <rPr>
            <b/>
            <sz val="9"/>
            <color indexed="81"/>
            <rFont val="Tahoma"/>
            <family val="2"/>
          </rPr>
          <t>Brian Schwan:</t>
        </r>
        <r>
          <rPr>
            <sz val="9"/>
            <color indexed="81"/>
            <rFont val="Tahoma"/>
            <family val="2"/>
          </rPr>
          <t xml:space="preserve">
special project fund that students can apply to-w/ a focus on student iniatives</t>
        </r>
      </text>
    </comment>
    <comment ref="S28" authorId="10" shapeId="0" xr:uid="{00000000-0006-0000-0900-000028000000}">
      <text>
        <r>
          <rPr>
            <b/>
            <sz val="9"/>
            <color indexed="81"/>
            <rFont val="Tahoma"/>
            <family val="2"/>
          </rPr>
          <t>Kurt MacMillan:</t>
        </r>
        <r>
          <rPr>
            <sz val="9"/>
            <color indexed="81"/>
            <rFont val="Tahoma"/>
            <family val="2"/>
          </rPr>
          <t xml:space="preserve">
special project fund that students can apply to-w/ a focus on student iniatives
VPSL removed this line without permission of Council. Council required funding be brought back in next governing year.</t>
        </r>
      </text>
    </comment>
    <comment ref="U28" authorId="8" shapeId="0" xr:uid="{00000000-0006-0000-0900-000029000000}">
      <text>
        <r>
          <rPr>
            <b/>
            <sz val="9"/>
            <color indexed="81"/>
            <rFont val="Tahoma"/>
            <family val="2"/>
          </rPr>
          <t>Windows User:</t>
        </r>
        <r>
          <rPr>
            <sz val="9"/>
            <color indexed="81"/>
            <rFont val="Tahoma"/>
            <family val="2"/>
          </rPr>
          <t xml:space="preserve">
Moved to VPOF Budget at direction of Council in Winter 2019</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Kurt MacMillan</author>
    <author>Clark</author>
    <author>Ben Balfour</author>
    <author>Renjie Butalid</author>
    <author>s4cook</author>
    <author>Benjamin Balfour</author>
    <author>Carly McCready</author>
  </authors>
  <commentList>
    <comment ref="S9" authorId="0" shapeId="0" xr:uid="{00000000-0006-0000-0A00-000001000000}">
      <text>
        <r>
          <rPr>
            <b/>
            <sz val="9"/>
            <color indexed="81"/>
            <rFont val="Tahoma"/>
            <family val="2"/>
          </rPr>
          <t>Kurt MacMillan:</t>
        </r>
        <r>
          <rPr>
            <sz val="9"/>
            <color indexed="81"/>
            <rFont val="Tahoma"/>
            <family val="2"/>
          </rPr>
          <t xml:space="preserve">
- $600 for volunteer recognition event (5-6 students)
- $500 for black FOC/leader shirts
- $250 for DriFit leader shirts</t>
        </r>
      </text>
    </comment>
    <comment ref="E18" authorId="1" shapeId="0" xr:uid="{00000000-0006-0000-0A00-000002000000}">
      <text>
        <r>
          <rPr>
            <b/>
            <sz val="9"/>
            <color indexed="81"/>
            <rFont val="Tahoma"/>
            <family val="2"/>
          </rPr>
          <t>Increase in accomodations for Co-chair to stay on campus (St.Pauls $75/night)</t>
        </r>
      </text>
    </comment>
    <comment ref="K18" authorId="2" shapeId="0" xr:uid="{00000000-0006-0000-0A00-000003000000}">
      <text>
        <r>
          <rPr>
            <b/>
            <sz val="9"/>
            <color indexed="81"/>
            <rFont val="Tahoma"/>
            <family val="2"/>
          </rPr>
          <t>Ben Balfour:</t>
        </r>
        <r>
          <rPr>
            <sz val="9"/>
            <color indexed="81"/>
            <rFont val="Tahoma"/>
            <family val="2"/>
          </rPr>
          <t xml:space="preserve">
Becky invoiced St.Pauls expenses from last year into this years budget.  They were $864.45.  This has been added on top of the previous number</t>
        </r>
      </text>
    </comment>
    <comment ref="B20" authorId="3" shapeId="0" xr:uid="{00000000-0006-0000-0A00-000004000000}">
      <text>
        <r>
          <rPr>
            <b/>
            <sz val="8"/>
            <color indexed="81"/>
            <rFont val="Tahoma"/>
            <family val="2"/>
          </rPr>
          <t>Renjie Butalid:</t>
        </r>
        <r>
          <rPr>
            <sz val="8"/>
            <color indexed="81"/>
            <rFont val="Tahoma"/>
            <family val="2"/>
          </rPr>
          <t xml:space="preserve">
Includes frosh kits on top of FOC Jamborees, FOC Wear and FOC Recognition
</t>
        </r>
      </text>
    </comment>
    <comment ref="C20" authorId="4" shapeId="0" xr:uid="{00000000-0006-0000-0A00-000005000000}">
      <text>
        <r>
          <rPr>
            <b/>
            <sz val="8"/>
            <color indexed="81"/>
            <rFont val="Tahoma"/>
            <family val="2"/>
          </rPr>
          <t>s4cook:</t>
        </r>
        <r>
          <rPr>
            <sz val="8"/>
            <color indexed="81"/>
            <rFont val="Tahoma"/>
            <family val="2"/>
          </rPr>
          <t xml:space="preserve">
- food, $800 for jamborees, $200 for teambuilders, gifts for FOC teams, custom cards, FOC  jackets $2500, hats</t>
        </r>
      </text>
    </comment>
    <comment ref="K20" authorId="5" shapeId="0" xr:uid="{00000000-0006-0000-0A00-000006000000}">
      <text>
        <r>
          <rPr>
            <b/>
            <sz val="9"/>
            <color indexed="81"/>
            <rFont val="Tahoma"/>
            <family val="2"/>
          </rPr>
          <t>Benjamin Balfour:</t>
        </r>
        <r>
          <rPr>
            <sz val="9"/>
            <color indexed="81"/>
            <rFont val="Tahoma"/>
            <family val="2"/>
          </rPr>
          <t xml:space="preserve">
may be a little low</t>
        </r>
      </text>
    </comment>
    <comment ref="O25" authorId="6" shapeId="0" xr:uid="{00000000-0006-0000-0A00-000007000000}">
      <text>
        <r>
          <rPr>
            <b/>
            <sz val="9"/>
            <color indexed="81"/>
            <rFont val="Tahoma"/>
            <family val="2"/>
          </rPr>
          <t>Carly McCready:</t>
        </r>
        <r>
          <rPr>
            <sz val="9"/>
            <color indexed="81"/>
            <rFont val="Tahoma"/>
            <family val="2"/>
          </rPr>
          <t xml:space="preserve">
If there are additional questions, Becky has submitted a more detailed budget that can be found in the exec drive</t>
        </r>
      </text>
    </comment>
    <comment ref="S25" authorId="0" shapeId="0" xr:uid="{00000000-0006-0000-0A00-000008000000}">
      <text>
        <r>
          <rPr>
            <b/>
            <sz val="9"/>
            <color indexed="81"/>
            <rFont val="Tahoma"/>
            <family val="2"/>
          </rPr>
          <t>Kurt MacMillan:</t>
        </r>
        <r>
          <rPr>
            <sz val="9"/>
            <color indexed="81"/>
            <rFont val="Tahoma"/>
            <family val="2"/>
          </rPr>
          <t xml:space="preserve">
Orientation budget moved to diff portfolio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J13" authorId="0" shapeId="0" xr:uid="{00000000-0006-0000-0B00-000001000000}">
      <text>
        <r>
          <rPr>
            <b/>
            <sz val="9"/>
            <color indexed="81"/>
            <rFont val="Tahoma"/>
            <family val="2"/>
          </rPr>
          <t>Windows User:</t>
        </r>
        <r>
          <rPr>
            <sz val="9"/>
            <color indexed="81"/>
            <rFont val="Tahoma"/>
            <family val="2"/>
          </rPr>
          <t xml:space="preserve">
support for equity-based events and focus on harm reduction ie. Nalaxone training/kits</t>
        </r>
      </text>
    </comment>
    <comment ref="J14" authorId="0" shapeId="0" xr:uid="{00000000-0006-0000-0B00-000002000000}">
      <text>
        <r>
          <rPr>
            <b/>
            <sz val="9"/>
            <color indexed="81"/>
            <rFont val="Tahoma"/>
            <charset val="1"/>
          </rPr>
          <t>Windows User:</t>
        </r>
        <r>
          <rPr>
            <sz val="9"/>
            <color indexed="81"/>
            <rFont val="Tahoma"/>
            <charset val="1"/>
          </rPr>
          <t xml:space="preserve">
SRC didn’t meet much this year but with new Equity commissioner we would like to see this continue</t>
        </r>
      </text>
    </comment>
  </commentList>
</comments>
</file>

<file path=xl/sharedStrings.xml><?xml version="1.0" encoding="utf-8"?>
<sst xmlns="http://schemas.openxmlformats.org/spreadsheetml/2006/main" count="3083" uniqueCount="967">
  <si>
    <t>WATERLOO UNDERGRADUATE STUDENT ASSOCIATION</t>
  </si>
  <si>
    <r>
      <t xml:space="preserve"> </t>
    </r>
    <r>
      <rPr>
        <b/>
        <i/>
        <u/>
        <sz val="18"/>
        <rFont val="Calibri Light"/>
        <family val="2"/>
      </rPr>
      <t xml:space="preserve">Operated by </t>
    </r>
    <r>
      <rPr>
        <b/>
        <u/>
        <sz val="18"/>
        <rFont val="Calibri Light"/>
        <family val="2"/>
      </rPr>
      <t>the Federation of Students, University of Waterloo</t>
    </r>
  </si>
  <si>
    <t>FY2020 Organizational Operating Budget</t>
  </si>
  <si>
    <t>General Operating Budget Summary</t>
  </si>
  <si>
    <t>Waterloo Undergraduate Student Association</t>
  </si>
  <si>
    <t>Gross Profit (Loss) by Portfolio</t>
  </si>
  <si>
    <t>Budget 18/19</t>
  </si>
  <si>
    <t>Actual 18/19</t>
  </si>
  <si>
    <t>Budget 19/20</t>
  </si>
  <si>
    <t>Governance Portfolio</t>
  </si>
  <si>
    <t>Operations &amp; Finance Portfolio</t>
  </si>
  <si>
    <t>Student Life Portfolio</t>
  </si>
  <si>
    <t>Education &amp; Advocacy Portfolio</t>
  </si>
  <si>
    <t>Total</t>
  </si>
  <si>
    <t>Expenses by Portfolio</t>
  </si>
  <si>
    <t>SubTotal Surplus (Loss)</t>
  </si>
  <si>
    <t xml:space="preserve">Governance Portfolio Summary </t>
  </si>
  <si>
    <t>Operating Budget, Federation of Students</t>
  </si>
  <si>
    <t>Summary of Revenues/Gross Profit</t>
  </si>
  <si>
    <t>Column1</t>
  </si>
  <si>
    <t>Column2</t>
  </si>
  <si>
    <t>Column3</t>
  </si>
  <si>
    <t>Column4</t>
  </si>
  <si>
    <t>Column5</t>
  </si>
  <si>
    <t>Column6</t>
  </si>
  <si>
    <t>Column7</t>
  </si>
  <si>
    <t>Column8</t>
  </si>
  <si>
    <t>Column9</t>
  </si>
  <si>
    <t>Column10</t>
  </si>
  <si>
    <t>Budget 15/16</t>
  </si>
  <si>
    <t>Actual 15/16</t>
  </si>
  <si>
    <t>Budget 16/17</t>
  </si>
  <si>
    <t>Actual 16/17</t>
  </si>
  <si>
    <t>Budget 17/18</t>
  </si>
  <si>
    <t>Actual 17/18</t>
  </si>
  <si>
    <t>Budget 19/21</t>
  </si>
  <si>
    <t>% Change from last FY</t>
  </si>
  <si>
    <t>President (30100)</t>
  </si>
  <si>
    <t>Orientation (32100)</t>
  </si>
  <si>
    <t>Elections (31300)</t>
  </si>
  <si>
    <t>Research and Policy Officer (31200)</t>
  </si>
  <si>
    <t>Student Government (31100)</t>
  </si>
  <si>
    <t>Summary of Expenses</t>
  </si>
  <si>
    <t xml:space="preserve"> </t>
  </si>
  <si>
    <t>Net Income</t>
  </si>
  <si>
    <t>30100 - President</t>
  </si>
  <si>
    <t>A Part of the Governance Portfolio</t>
  </si>
  <si>
    <t>Revenues</t>
  </si>
  <si>
    <t>Budget 10/11</t>
  </si>
  <si>
    <t>Actual 10/11</t>
  </si>
  <si>
    <t>Budget 11/12</t>
  </si>
  <si>
    <t>Actual 11/12</t>
  </si>
  <si>
    <t>Budget 12/13</t>
  </si>
  <si>
    <t>Actual 12/13</t>
  </si>
  <si>
    <t>Budget 13/14</t>
  </si>
  <si>
    <t>Actual 13/14</t>
  </si>
  <si>
    <t>Budget 14/15</t>
  </si>
  <si>
    <t>Actuals 14/15</t>
  </si>
  <si>
    <t>Actuals 15/16</t>
  </si>
  <si>
    <t>Total Revenues</t>
  </si>
  <si>
    <t xml:space="preserve">Account </t>
  </si>
  <si>
    <t>Expenses</t>
  </si>
  <si>
    <t>64010-30100</t>
  </si>
  <si>
    <t>Wages</t>
  </si>
  <si>
    <t xml:space="preserve">     Benefits</t>
  </si>
  <si>
    <t>64040-30100</t>
  </si>
  <si>
    <t>PT Wages</t>
  </si>
  <si>
    <t>64080-30100</t>
  </si>
  <si>
    <t>Volunteer Recognition</t>
  </si>
  <si>
    <t>65010-30100</t>
  </si>
  <si>
    <t>Telephone</t>
  </si>
  <si>
    <t>65020-30100</t>
  </si>
  <si>
    <t>Cell Phone</t>
  </si>
  <si>
    <t>65030-30100</t>
  </si>
  <si>
    <t>Fax</t>
  </si>
  <si>
    <t xml:space="preserve"> $                              -  </t>
  </si>
  <si>
    <t>65070-30100</t>
  </si>
  <si>
    <t>Photocopying</t>
  </si>
  <si>
    <t>65090-30100</t>
  </si>
  <si>
    <t>General Office/Computer Supplies</t>
  </si>
  <si>
    <t>66010-30100</t>
  </si>
  <si>
    <t>Ent/Promo/Meetings</t>
  </si>
  <si>
    <t>66030-30100</t>
  </si>
  <si>
    <t>Travel/Conf/Prof.Dev't</t>
  </si>
  <si>
    <t>66110-30100</t>
  </si>
  <si>
    <t>Long Range Planning</t>
  </si>
  <si>
    <t>68100-30100</t>
  </si>
  <si>
    <t>Amortization</t>
  </si>
  <si>
    <t>70010-30100</t>
  </si>
  <si>
    <t>Special Projects</t>
  </si>
  <si>
    <t xml:space="preserve">     New Space Project</t>
  </si>
  <si>
    <t xml:space="preserve">     Environmental Projects</t>
  </si>
  <si>
    <t xml:space="preserve">     Discretionary Expenses</t>
  </si>
  <si>
    <t xml:space="preserve">     Governance Review</t>
  </si>
  <si>
    <t>Feds 50th</t>
  </si>
  <si>
    <t xml:space="preserve">     Mental Health</t>
  </si>
  <si>
    <t>Exec Gear</t>
  </si>
  <si>
    <t>Exec Transition Retreat</t>
  </si>
  <si>
    <t>Transition Honorarium</t>
  </si>
  <si>
    <t>Leadership/BoD Banquet</t>
  </si>
  <si>
    <t>Canada Day Honoraria</t>
  </si>
  <si>
    <t>Total Expenses</t>
  </si>
  <si>
    <t>Total Net</t>
  </si>
  <si>
    <t>31100 - Student Government</t>
  </si>
  <si>
    <t>Actual 14/15</t>
  </si>
  <si>
    <t>Budget 20/21</t>
  </si>
  <si>
    <t>SLEF Governance &amp; Advocacy Sponsorship</t>
  </si>
  <si>
    <t>Account</t>
  </si>
  <si>
    <t>64040-31100</t>
  </si>
  <si>
    <t>P/T salaries</t>
  </si>
  <si>
    <t>64080-31100</t>
  </si>
  <si>
    <t>Governance Events Coordinator*</t>
  </si>
  <si>
    <t>Recording Secretary &amp; Clerk</t>
  </si>
  <si>
    <t>Honoraria</t>
  </si>
  <si>
    <t xml:space="preserve">     Board</t>
  </si>
  <si>
    <t xml:space="preserve">     Council</t>
  </si>
  <si>
    <t>Volunteer Appreciation</t>
  </si>
  <si>
    <t>65070-31100</t>
  </si>
  <si>
    <t>66010-31100</t>
  </si>
  <si>
    <t>66030-31100</t>
  </si>
  <si>
    <t>68100-31100</t>
  </si>
  <si>
    <t>70010-31100</t>
  </si>
  <si>
    <t>Town Hall Events</t>
  </si>
  <si>
    <t>Governance &amp; Advocacy Signage</t>
  </si>
  <si>
    <t>Council Gear</t>
  </si>
  <si>
    <t>Transition</t>
  </si>
  <si>
    <t xml:space="preserve">First Year Council </t>
  </si>
  <si>
    <t>Microphones</t>
  </si>
  <si>
    <t>General Meetings</t>
  </si>
  <si>
    <t>Tranfers-out (General Meetings)</t>
  </si>
  <si>
    <t>31200 - Research and Policy Officer</t>
  </si>
  <si>
    <t>64040-31200</t>
  </si>
  <si>
    <t>Part-Time Salaries</t>
  </si>
  <si>
    <t>Research &amp; Policy Analyst</t>
  </si>
  <si>
    <t>65070-31200</t>
  </si>
  <si>
    <t>65090-31200</t>
  </si>
  <si>
    <t>66010-31200</t>
  </si>
  <si>
    <t>66030-31200</t>
  </si>
  <si>
    <t>Office Supplies</t>
  </si>
  <si>
    <t>68100-31200</t>
  </si>
  <si>
    <t>70010-31200</t>
  </si>
  <si>
    <t>31300 - Elections</t>
  </si>
  <si>
    <t>64040-31300</t>
  </si>
  <si>
    <t>Part-time Salaries</t>
  </si>
  <si>
    <t>64080-31300</t>
  </si>
  <si>
    <t>Governance Events Coordinator</t>
  </si>
  <si>
    <t>65070-31300</t>
  </si>
  <si>
    <t>Chief Returning Officer</t>
  </si>
  <si>
    <t>65090-31300</t>
  </si>
  <si>
    <t>Elections &amp; Referenda Officer</t>
  </si>
  <si>
    <t>65200-31300</t>
  </si>
  <si>
    <t>Polling Clerks</t>
  </si>
  <si>
    <t>66010-31300</t>
  </si>
  <si>
    <t>Honorarium</t>
  </si>
  <si>
    <t>67080-31300</t>
  </si>
  <si>
    <t>70010-31300</t>
  </si>
  <si>
    <t>General Office/Computer</t>
  </si>
  <si>
    <t>Equipment Rental</t>
  </si>
  <si>
    <t xml:space="preserve">Advertising </t>
  </si>
  <si>
    <t>Candidate Rebates</t>
  </si>
  <si>
    <t>Special Project</t>
  </si>
  <si>
    <t xml:space="preserve">y7                                                                                                                                       </t>
  </si>
  <si>
    <t>Student Life Portfolio Summary</t>
  </si>
  <si>
    <t>Operating Budget, Waterloo Undergraduate Student Association</t>
  </si>
  <si>
    <t>Summary of Revenues/Gross Income</t>
  </si>
  <si>
    <t>VPSL (20100)</t>
  </si>
  <si>
    <t>Orientation (32101)</t>
  </si>
  <si>
    <t>Society Relations Commissioner (20200)</t>
  </si>
  <si>
    <t>Equity Commissioner (20200)</t>
  </si>
  <si>
    <t>Director of Campus Life (21100)</t>
  </si>
  <si>
    <t>Services Manager (24100)</t>
  </si>
  <si>
    <t>Clubs (23100)</t>
  </si>
  <si>
    <t>Campus Response Team (24300)</t>
  </si>
  <si>
    <t>Foodbank (24500)</t>
  </si>
  <si>
    <t>Glow (24600)</t>
  </si>
  <si>
    <t xml:space="preserve">SCI (24900) </t>
  </si>
  <si>
    <t>Off-Campus Community (24800)</t>
  </si>
  <si>
    <t>Women's Centre (25100)</t>
  </si>
  <si>
    <t>Bike Centre (24200)</t>
  </si>
  <si>
    <t>ICSN (24700)</t>
  </si>
  <si>
    <t>Co-op Connection (24400)</t>
  </si>
  <si>
    <t>Volunteer Centre (25000)</t>
  </si>
  <si>
    <t>Mates (25300)</t>
  </si>
  <si>
    <t>RAISE (25400)</t>
  </si>
  <si>
    <t>Special Events (22000)</t>
  </si>
  <si>
    <t>20100 - Vice President Student Life</t>
  </si>
  <si>
    <t>A Part of the Student Life Portfolio</t>
  </si>
  <si>
    <t>Grants</t>
  </si>
  <si>
    <t>64010-20100</t>
  </si>
  <si>
    <t>64040-20100</t>
  </si>
  <si>
    <t>P/T Wages</t>
  </si>
  <si>
    <t>64080-20100</t>
  </si>
  <si>
    <t>65010-20100</t>
  </si>
  <si>
    <t>65020-20100</t>
  </si>
  <si>
    <t>65030-20100</t>
  </si>
  <si>
    <t>65070-20100</t>
  </si>
  <si>
    <t>65080-20100</t>
  </si>
  <si>
    <t>Printing/Graphic</t>
  </si>
  <si>
    <t>65090-20100</t>
  </si>
  <si>
    <t>66010-20100</t>
  </si>
  <si>
    <t>66030-20100</t>
  </si>
  <si>
    <t>68100-20100</t>
  </si>
  <si>
    <t>70010-20100</t>
  </si>
  <si>
    <t xml:space="preserve">     Satellite campus/College relations</t>
  </si>
  <si>
    <t xml:space="preserve">     Community Events</t>
  </si>
  <si>
    <t xml:space="preserve">     New Student Transition</t>
  </si>
  <si>
    <t xml:space="preserve">     Society Relations</t>
  </si>
  <si>
    <t>Leadership Awards</t>
  </si>
  <si>
    <t>Internal Funding Committee</t>
  </si>
  <si>
    <t>EOI Backup Fund</t>
  </si>
  <si>
    <t xml:space="preserve">Diversity Campaign Expenses </t>
  </si>
  <si>
    <t>32100 - Orientation</t>
  </si>
  <si>
    <t>64080-32100</t>
  </si>
  <si>
    <t>67040-32100</t>
  </si>
  <si>
    <t>Staff relations</t>
  </si>
  <si>
    <t>Printing/Graphics</t>
  </si>
  <si>
    <t>General Supplies</t>
  </si>
  <si>
    <t>Prof Dvt/Conf/Travel</t>
  </si>
  <si>
    <t>FOC Services</t>
  </si>
  <si>
    <t>Sponsor Recognition</t>
  </si>
  <si>
    <t>Bad Debts</t>
  </si>
  <si>
    <t>TO DO: RECODE ORIENTATION TO A STUDENT LIFE BUDGET</t>
  </si>
  <si>
    <t>20200 - Equity Commissioner (New role as of 2019 - used to be Society Relations Commissioner)</t>
  </si>
  <si>
    <t>65070-20200</t>
  </si>
  <si>
    <t>66010-20200</t>
  </si>
  <si>
    <t>65090-20200</t>
  </si>
  <si>
    <t>General Office/Supplies</t>
  </si>
  <si>
    <t>70010-20200</t>
  </si>
  <si>
    <t>Events</t>
  </si>
  <si>
    <t>21100 - Director of Campus Life</t>
  </si>
  <si>
    <t>Budget 18/20</t>
  </si>
  <si>
    <t>Budget 18/21</t>
  </si>
  <si>
    <t xml:space="preserve">Clubs Surplus </t>
  </si>
  <si>
    <t>6175-6400</t>
  </si>
  <si>
    <t>Clubs Surplus Expense</t>
  </si>
  <si>
    <t>64040-21100</t>
  </si>
  <si>
    <t>Salaries P/T</t>
  </si>
  <si>
    <t>64080-21100</t>
  </si>
  <si>
    <t>65010-21100</t>
  </si>
  <si>
    <t>65030-21100</t>
  </si>
  <si>
    <t>65070-21100</t>
  </si>
  <si>
    <t>65090-21100</t>
  </si>
  <si>
    <t>General Office Supplies</t>
  </si>
  <si>
    <t>66010-21100</t>
  </si>
  <si>
    <t>Ent/Promo/Meeting</t>
  </si>
  <si>
    <t>66030-21100</t>
  </si>
  <si>
    <t>67040-21100</t>
  </si>
  <si>
    <t>Staff Relations</t>
  </si>
  <si>
    <t>68100-21100</t>
  </si>
  <si>
    <t>Amoritization</t>
  </si>
  <si>
    <t>open house</t>
  </si>
  <si>
    <t>Miscellaneous</t>
  </si>
  <si>
    <t>70010-21100</t>
  </si>
  <si>
    <t>24100 - Services Manager</t>
  </si>
  <si>
    <t>70010-24100</t>
  </si>
  <si>
    <t>EOT Service Coord Honoraria</t>
  </si>
  <si>
    <t>64080-24100</t>
  </si>
  <si>
    <t>65090-24100</t>
  </si>
  <si>
    <t>General Office</t>
  </si>
  <si>
    <t>66010-24100</t>
  </si>
  <si>
    <t>Volunteer Training</t>
  </si>
  <si>
    <t>65010-24100</t>
  </si>
  <si>
    <t>Campus Life Fair</t>
  </si>
  <si>
    <t>65070-24100</t>
  </si>
  <si>
    <t>64040-24100</t>
  </si>
  <si>
    <t>Work Study</t>
  </si>
  <si>
    <t>23100 - Clubs</t>
  </si>
  <si>
    <t>51100-23100</t>
  </si>
  <si>
    <t>Supplies</t>
  </si>
  <si>
    <t>60040-23100</t>
  </si>
  <si>
    <t>Clubs Surplus Revenue</t>
  </si>
  <si>
    <t>50140-23100</t>
  </si>
  <si>
    <t>64040-23100</t>
  </si>
  <si>
    <t>64080-23100</t>
  </si>
  <si>
    <t>65010-23100</t>
  </si>
  <si>
    <t>65030-23100</t>
  </si>
  <si>
    <t>65070-23100</t>
  </si>
  <si>
    <t>65090-23100</t>
  </si>
  <si>
    <t>66010-23100</t>
  </si>
  <si>
    <t>66030-23100</t>
  </si>
  <si>
    <t>67040-23100</t>
  </si>
  <si>
    <t>68100-23100</t>
  </si>
  <si>
    <t>70010-23100</t>
  </si>
  <si>
    <t>Clubs Allotment</t>
  </si>
  <si>
    <t>Clubs Awards</t>
  </si>
  <si>
    <t>EOT Service Coord Reports</t>
  </si>
  <si>
    <t>65100-23100</t>
  </si>
  <si>
    <t>BBQ Supplies</t>
  </si>
  <si>
    <t xml:space="preserve">Cultural Caravan </t>
  </si>
  <si>
    <t>Advertising</t>
  </si>
  <si>
    <t>Clubs Surplus Deficit</t>
  </si>
  <si>
    <t>24300 - Campus Response Team</t>
  </si>
  <si>
    <t>Budget10/11</t>
  </si>
  <si>
    <t>Acutal 17/18</t>
  </si>
  <si>
    <t>51010-24300</t>
  </si>
  <si>
    <t>Sales</t>
  </si>
  <si>
    <t>50030-24300</t>
  </si>
  <si>
    <t>Donations</t>
  </si>
  <si>
    <t>64080-24300</t>
  </si>
  <si>
    <t>65010-24300</t>
  </si>
  <si>
    <t>65070-24300</t>
  </si>
  <si>
    <t>65090-24300</t>
  </si>
  <si>
    <t>65150-24300</t>
  </si>
  <si>
    <t>Taxi Fund</t>
  </si>
  <si>
    <t>66010-24300</t>
  </si>
  <si>
    <t>66030-24300</t>
  </si>
  <si>
    <t>Conferences</t>
  </si>
  <si>
    <t>66060-24300</t>
  </si>
  <si>
    <t>Subscriptions</t>
  </si>
  <si>
    <t>67080-24300</t>
  </si>
  <si>
    <t>68080-24300</t>
  </si>
  <si>
    <t>68100-24300</t>
  </si>
  <si>
    <t>70010-24300</t>
  </si>
  <si>
    <t>Certifications</t>
  </si>
  <si>
    <t>Casualty Simulation</t>
  </si>
  <si>
    <t>First Aid Equipment</t>
  </si>
  <si>
    <t>Discretionary Expenses</t>
  </si>
  <si>
    <t>64090-24300</t>
  </si>
  <si>
    <t xml:space="preserve"> Volunteer Training</t>
  </si>
  <si>
    <t>24500 - Foodbank</t>
  </si>
  <si>
    <t>51010-24500</t>
  </si>
  <si>
    <t>50030-24500</t>
  </si>
  <si>
    <t>64080-24500</t>
  </si>
  <si>
    <t>65010-24500</t>
  </si>
  <si>
    <t>65070-24500</t>
  </si>
  <si>
    <t>65090-24500</t>
  </si>
  <si>
    <t>65150-24500</t>
  </si>
  <si>
    <t>Auto</t>
  </si>
  <si>
    <t>Seeking:150</t>
  </si>
  <si>
    <t>66010-24500</t>
  </si>
  <si>
    <t>66030-24500</t>
  </si>
  <si>
    <t>Travel/conf/Wkp/Prof Develop</t>
  </si>
  <si>
    <t>66050-24500</t>
  </si>
  <si>
    <t>Memberships</t>
  </si>
  <si>
    <t>68100-24500</t>
  </si>
  <si>
    <t>70010-24500</t>
  </si>
  <si>
    <t>Trick or Eat</t>
  </si>
  <si>
    <t>24600 - Glow</t>
  </si>
  <si>
    <t>51010-24600</t>
  </si>
  <si>
    <t>50030-24600</t>
  </si>
  <si>
    <t>64090-24600</t>
  </si>
  <si>
    <t>Volunteer Appreciaton</t>
  </si>
  <si>
    <t>65010-24600</t>
  </si>
  <si>
    <t>65070-24600</t>
  </si>
  <si>
    <t>65090-24600</t>
  </si>
  <si>
    <t>66010-24600</t>
  </si>
  <si>
    <t>66030-24600</t>
  </si>
  <si>
    <t>66060-24600</t>
  </si>
  <si>
    <t>68080-24600</t>
  </si>
  <si>
    <t xml:space="preserve">Miscellaneous </t>
  </si>
  <si>
    <t>70010-24600</t>
  </si>
  <si>
    <t>7095-3300</t>
  </si>
  <si>
    <t>Queer Dances</t>
  </si>
  <si>
    <t>7096-3300</t>
  </si>
  <si>
    <t>Ally Network</t>
  </si>
  <si>
    <t>Pride Festivals</t>
  </si>
  <si>
    <t>Literature</t>
  </si>
  <si>
    <t>Special Events</t>
  </si>
  <si>
    <t>Salaries/Wages</t>
  </si>
  <si>
    <t>24900 - Sustainable Campus Initiative</t>
  </si>
  <si>
    <t>51010-24900</t>
  </si>
  <si>
    <t>50020-24900</t>
  </si>
  <si>
    <t>50030-24900</t>
  </si>
  <si>
    <t>64080-24900</t>
  </si>
  <si>
    <t>65010-24900</t>
  </si>
  <si>
    <t>-</t>
  </si>
  <si>
    <t>65070-24900</t>
  </si>
  <si>
    <t>65090-24900</t>
  </si>
  <si>
    <t>66010-24900</t>
  </si>
  <si>
    <t>6600-2200</t>
  </si>
  <si>
    <t>68080-24900</t>
  </si>
  <si>
    <t>70010-24900</t>
  </si>
  <si>
    <t>7100-2200</t>
  </si>
  <si>
    <t>7110-2200</t>
  </si>
  <si>
    <t>Green Buildings</t>
  </si>
  <si>
    <t>7115-2200</t>
  </si>
  <si>
    <t>STEP</t>
  </si>
  <si>
    <t>7130-2200</t>
  </si>
  <si>
    <t>Waste Management</t>
  </si>
  <si>
    <t>7135-2200</t>
  </si>
  <si>
    <t>Natural Landscaping Team</t>
  </si>
  <si>
    <t>7137-2200</t>
  </si>
  <si>
    <t>Clearing a Path</t>
  </si>
  <si>
    <t>7139-2200</t>
  </si>
  <si>
    <t>CSAF</t>
  </si>
  <si>
    <t>7141-2200</t>
  </si>
  <si>
    <t>GROW</t>
  </si>
  <si>
    <t>Earth Hour</t>
  </si>
  <si>
    <t>7143-2200</t>
  </si>
  <si>
    <t>Footsteps for conservation</t>
  </si>
  <si>
    <t>7146-2200</t>
  </si>
  <si>
    <t>Otesha Project</t>
  </si>
  <si>
    <t>7147-2200</t>
  </si>
  <si>
    <t>Sustainable Foods (Eco Eats)</t>
  </si>
  <si>
    <t>7148-2200</t>
  </si>
  <si>
    <t>Resource  Management</t>
  </si>
  <si>
    <t>7149-2200</t>
  </si>
  <si>
    <t>Work/Study/PT Wages</t>
  </si>
  <si>
    <t>7180-2200</t>
  </si>
  <si>
    <t>Active and Community Transportation</t>
  </si>
  <si>
    <t>7185-2200</t>
  </si>
  <si>
    <t>Better Practices</t>
  </si>
  <si>
    <t>7190-2200</t>
  </si>
  <si>
    <t>Residence Working Group</t>
  </si>
  <si>
    <t>7195-2200</t>
  </si>
  <si>
    <t>Eco-Art Cooperative</t>
  </si>
  <si>
    <t>7200-2200</t>
  </si>
  <si>
    <t>New Working Groups</t>
  </si>
  <si>
    <t>Fall initiatives</t>
  </si>
  <si>
    <t>Winter initiatives</t>
  </si>
  <si>
    <t>Spring initiatives</t>
  </si>
  <si>
    <t>Volunteer training</t>
  </si>
  <si>
    <t>Recycle Week</t>
  </si>
  <si>
    <t>EcoLoo</t>
  </si>
  <si>
    <t>Anti-Idling Campaign</t>
  </si>
  <si>
    <t>68100-24900</t>
  </si>
  <si>
    <t>24800 - Off-Campus Community</t>
  </si>
  <si>
    <t>52917-24800</t>
  </si>
  <si>
    <t>51010-24800</t>
  </si>
  <si>
    <t>50020-24800</t>
  </si>
  <si>
    <t>62901-24800</t>
  </si>
  <si>
    <t>Leader Expenses</t>
  </si>
  <si>
    <t>64080-24800</t>
  </si>
  <si>
    <t>65010-24800</t>
  </si>
  <si>
    <t>65070-24800</t>
  </si>
  <si>
    <t>65090-24800</t>
  </si>
  <si>
    <t>66010-24800</t>
  </si>
  <si>
    <t>Entertainment/Promotion</t>
  </si>
  <si>
    <t>6600-2800</t>
  </si>
  <si>
    <t>68080-24800</t>
  </si>
  <si>
    <t>68100-24800</t>
  </si>
  <si>
    <t>64090-24800</t>
  </si>
  <si>
    <t>61280-24800</t>
  </si>
  <si>
    <t>Don Events</t>
  </si>
  <si>
    <t>70010-24800</t>
  </si>
  <si>
    <t>Orientation</t>
  </si>
  <si>
    <t>Fall  community events</t>
  </si>
  <si>
    <t>Winter community events</t>
  </si>
  <si>
    <t>Spring community events</t>
  </si>
  <si>
    <t>Discretionary</t>
  </si>
  <si>
    <t>25100 - Women's Centre</t>
  </si>
  <si>
    <t>61280-25100</t>
  </si>
  <si>
    <t>Vagina Monologue Revenue</t>
  </si>
  <si>
    <t>50030-25100</t>
  </si>
  <si>
    <t>64080-25100</t>
  </si>
  <si>
    <t>65010-25100</t>
  </si>
  <si>
    <t>65070-25100</t>
  </si>
  <si>
    <t>65090-25100</t>
  </si>
  <si>
    <t>66010-25100</t>
  </si>
  <si>
    <t xml:space="preserve">want to extend meetings to satellite campuses </t>
  </si>
  <si>
    <t>66060-25100</t>
  </si>
  <si>
    <t>67080-25100</t>
  </si>
  <si>
    <t>66030-25100</t>
  </si>
  <si>
    <t>Travel/Conferences/Auto</t>
  </si>
  <si>
    <t>68090-25100</t>
  </si>
  <si>
    <t>Bad Debt</t>
  </si>
  <si>
    <t>68100-25100</t>
  </si>
  <si>
    <t>70010-25100</t>
  </si>
  <si>
    <t>865.73.</t>
  </si>
  <si>
    <t>Women's Week (Winter)</t>
  </si>
  <si>
    <t>7230-4900</t>
  </si>
  <si>
    <t>UW Parents</t>
  </si>
  <si>
    <t>Love Your Body Week (Fall)</t>
  </si>
  <si>
    <t>8409-4900</t>
  </si>
  <si>
    <t>Vagina Monologue Expenses</t>
  </si>
  <si>
    <t>Spring Special Events</t>
  </si>
  <si>
    <t>Fall special events</t>
  </si>
  <si>
    <t>Winter Special Events</t>
  </si>
  <si>
    <t>Body Appreciation Week (Spring)</t>
  </si>
  <si>
    <t>64090-25100</t>
  </si>
  <si>
    <t>Poetry Slam</t>
  </si>
  <si>
    <t>Slut Walk</t>
  </si>
  <si>
    <t>24200 - Bike Centre</t>
  </si>
  <si>
    <t>51010-24200</t>
  </si>
  <si>
    <t>Bike Rental Income</t>
  </si>
  <si>
    <t>64080-24200</t>
  </si>
  <si>
    <t>65010-24200</t>
  </si>
  <si>
    <t>65070-24200</t>
  </si>
  <si>
    <t>65090-24200</t>
  </si>
  <si>
    <t>61050-24200</t>
  </si>
  <si>
    <t>Equipment Costs</t>
  </si>
  <si>
    <t>61290-24200</t>
  </si>
  <si>
    <t>Parts</t>
  </si>
  <si>
    <t>66010-24200</t>
  </si>
  <si>
    <t>70010-24200</t>
  </si>
  <si>
    <t>Mechanic Honorarium</t>
  </si>
  <si>
    <t>Volunteer Mng. Honorarium</t>
  </si>
  <si>
    <t>Legal Theft Mng. Honorarium</t>
  </si>
  <si>
    <t>Social Media Honorarium</t>
  </si>
  <si>
    <t>Rental Mng. Honorarium</t>
  </si>
  <si>
    <t>Bike Rental Program</t>
  </si>
  <si>
    <t>Bike Lockers</t>
  </si>
  <si>
    <t>64040-24200</t>
  </si>
  <si>
    <t>24700 - International and Canadian Student Network</t>
  </si>
  <si>
    <t>Actuan 16/17</t>
  </si>
  <si>
    <t>Waterloo Int.</t>
  </si>
  <si>
    <t>GSA</t>
  </si>
  <si>
    <t>51010-24700</t>
  </si>
  <si>
    <t>50030-24700</t>
  </si>
  <si>
    <t xml:space="preserve">Spring Term Trips </t>
  </si>
  <si>
    <t>Fall Term Trips</t>
  </si>
  <si>
    <t>Winter Term Trips</t>
  </si>
  <si>
    <t>Cost of Sales</t>
  </si>
  <si>
    <t>Spring Term Trips</t>
  </si>
  <si>
    <t>Gross Profit</t>
  </si>
  <si>
    <t>64080-24700</t>
  </si>
  <si>
    <t>65010-24700</t>
  </si>
  <si>
    <t>65070-24700</t>
  </si>
  <si>
    <t>65090-24700</t>
  </si>
  <si>
    <t>66010-24700</t>
  </si>
  <si>
    <t>70010-24700</t>
  </si>
  <si>
    <t>24400 - Co-op Connection</t>
  </si>
  <si>
    <t>50040-24400</t>
  </si>
  <si>
    <t>Sponsorship</t>
  </si>
  <si>
    <t>Co-op &amp; Exp. Education Dept (CEE)</t>
  </si>
  <si>
    <t>51010-24400</t>
  </si>
  <si>
    <t>50030-24400</t>
  </si>
  <si>
    <t>65010-24400</t>
  </si>
  <si>
    <t>65070-24400</t>
  </si>
  <si>
    <t>66010-24400</t>
  </si>
  <si>
    <t>66030-24400</t>
  </si>
  <si>
    <t>Conference</t>
  </si>
  <si>
    <t>65090-24400</t>
  </si>
  <si>
    <t>70010-24400</t>
  </si>
  <si>
    <t>seeking: 10.5k</t>
  </si>
  <si>
    <t>Travel</t>
  </si>
  <si>
    <t>64080-24400</t>
  </si>
  <si>
    <t>25000 - Volunteer Centre</t>
  </si>
  <si>
    <t>Budge 18/19</t>
  </si>
  <si>
    <t>Budge 19/20</t>
  </si>
  <si>
    <t>Budge 20/21</t>
  </si>
  <si>
    <t>51010-25000</t>
  </si>
  <si>
    <t>65090-25000</t>
  </si>
  <si>
    <t>64080-25000</t>
  </si>
  <si>
    <t>65010-25000</t>
  </si>
  <si>
    <t>65070-25000</t>
  </si>
  <si>
    <t>66010-25000</t>
  </si>
  <si>
    <t>67080-25000</t>
  </si>
  <si>
    <t>68100-25000</t>
  </si>
  <si>
    <t>64090-25000</t>
  </si>
  <si>
    <t>Volunter Training</t>
  </si>
  <si>
    <t>Annual Fees</t>
  </si>
  <si>
    <t>70010-25000</t>
  </si>
  <si>
    <t>25200 - Warrior Tribe</t>
  </si>
  <si>
    <t>A Part of the VP Student Life's Budget</t>
  </si>
  <si>
    <t>51010-25200</t>
  </si>
  <si>
    <t>Actual 6/17</t>
  </si>
  <si>
    <t>65090-25200</t>
  </si>
  <si>
    <t>64080-25200</t>
  </si>
  <si>
    <t>65070-25200</t>
  </si>
  <si>
    <t>66010-25200</t>
  </si>
  <si>
    <t>64090-25200</t>
  </si>
  <si>
    <t>Voluneer Training</t>
  </si>
  <si>
    <t>70010-25200</t>
  </si>
  <si>
    <t>25300 - Mates</t>
  </si>
  <si>
    <t>65090-25300</t>
  </si>
  <si>
    <t>64080-25300</t>
  </si>
  <si>
    <t>65070-25300</t>
  </si>
  <si>
    <t>65010-25300</t>
  </si>
  <si>
    <t>66010-25300</t>
  </si>
  <si>
    <t>64090-25300</t>
  </si>
  <si>
    <t>requested:900, budgtted for 600, I gave 900</t>
  </si>
  <si>
    <t>70010-25300</t>
  </si>
  <si>
    <t xml:space="preserve">Special Projects / Events </t>
  </si>
  <si>
    <t>Budget 21/22</t>
  </si>
  <si>
    <t>Budget 22/23</t>
  </si>
  <si>
    <t>Budget 22/24</t>
  </si>
  <si>
    <t>Xchanges Conference</t>
  </si>
  <si>
    <t>Vibes Nights</t>
  </si>
  <si>
    <t>22000 - Special Events/Programming</t>
  </si>
  <si>
    <t>Actual</t>
  </si>
  <si>
    <t>51280-22000</t>
  </si>
  <si>
    <t>Welcome Week</t>
  </si>
  <si>
    <t>Wonderland</t>
  </si>
  <si>
    <t>Oktoberfest</t>
  </si>
  <si>
    <t>Event/Concert Revenue</t>
  </si>
  <si>
    <t xml:space="preserve">Halloween </t>
  </si>
  <si>
    <t>Big Chill</t>
  </si>
  <si>
    <t>Polar Jam</t>
  </si>
  <si>
    <t>Frost Week</t>
  </si>
  <si>
    <t>Spring Welcome Week</t>
  </si>
  <si>
    <t>Transfers-in (General Meetings)</t>
  </si>
  <si>
    <t>actual</t>
  </si>
  <si>
    <t>8401-4200</t>
  </si>
  <si>
    <t>8800-4200</t>
  </si>
  <si>
    <t>8824-4200</t>
  </si>
  <si>
    <t>Halloween</t>
  </si>
  <si>
    <t>8828-4200</t>
  </si>
  <si>
    <t>8830-4200</t>
  </si>
  <si>
    <t>Event/Concert Exp</t>
  </si>
  <si>
    <t>64080-22000</t>
  </si>
  <si>
    <t>65010-22000</t>
  </si>
  <si>
    <t>65030-22000</t>
  </si>
  <si>
    <t>65070-22000</t>
  </si>
  <si>
    <t>65080-22000</t>
  </si>
  <si>
    <t>65090-22000</t>
  </si>
  <si>
    <t>66010-22000</t>
  </si>
  <si>
    <t>Travel/Conference/Prof.Dev't</t>
  </si>
  <si>
    <t>66050-22000</t>
  </si>
  <si>
    <t>COCA Membership</t>
  </si>
  <si>
    <t>67080-22000</t>
  </si>
  <si>
    <t>68100-22000</t>
  </si>
  <si>
    <t>61280-22000</t>
  </si>
  <si>
    <t>70010-22000</t>
  </si>
  <si>
    <t>7310-4200</t>
  </si>
  <si>
    <t>Toronto Pride Parade</t>
  </si>
  <si>
    <t>Beach Trip</t>
  </si>
  <si>
    <t>Halloween Haunt</t>
  </si>
  <si>
    <t>Mental Health Wellness Day</t>
  </si>
  <si>
    <t xml:space="preserve">Oktoberfest </t>
  </si>
  <si>
    <t>Mocktoberfest</t>
  </si>
  <si>
    <t>Talent Competition</t>
  </si>
  <si>
    <t>Mental Health Awareness</t>
  </si>
  <si>
    <t>International Celebrations Week</t>
  </si>
  <si>
    <t>Well Wishing</t>
  </si>
  <si>
    <t>Pet Therapy</t>
  </si>
  <si>
    <t>Themed Bomber</t>
  </si>
  <si>
    <t>New Special Events</t>
  </si>
  <si>
    <t>+</t>
  </si>
  <si>
    <t>New Student Events</t>
  </si>
  <si>
    <t>61280-22200</t>
  </si>
  <si>
    <t>Fall Welcome Week</t>
  </si>
  <si>
    <t>Winter Welcome Week</t>
  </si>
  <si>
    <t>PT salaries</t>
  </si>
  <si>
    <t>Leadership Opportunities</t>
  </si>
  <si>
    <t>Cultural Caravan</t>
  </si>
  <si>
    <t>Wrap Up Week</t>
  </si>
  <si>
    <t>Education &amp; Advocacy Portfolio Summary</t>
  </si>
  <si>
    <t>Summary of Revenues</t>
  </si>
  <si>
    <t>VP Education (40100)</t>
  </si>
  <si>
    <t>SRO (41500)</t>
  </si>
  <si>
    <t>OUSA (41400)</t>
  </si>
  <si>
    <t>Academic Affairs (41100)</t>
  </si>
  <si>
    <t>Government Affairs (41200)</t>
  </si>
  <si>
    <t>Local Affairs (41300)</t>
  </si>
  <si>
    <t>40100 - VP Education</t>
  </si>
  <si>
    <t>A Part of the Education &amp; Advocacy Portfolio</t>
  </si>
  <si>
    <t>Actual 14/16</t>
  </si>
  <si>
    <t>Budget 14/18</t>
  </si>
  <si>
    <t>64010-40100</t>
  </si>
  <si>
    <t>64040-40100</t>
  </si>
  <si>
    <t>PT Salaries</t>
  </si>
  <si>
    <t>65010-40100</t>
  </si>
  <si>
    <t>65020-40100</t>
  </si>
  <si>
    <t>65030-40100</t>
  </si>
  <si>
    <t>65070-40100</t>
  </si>
  <si>
    <t>65090-40100</t>
  </si>
  <si>
    <t>66010-40100</t>
  </si>
  <si>
    <t>66030-40100</t>
  </si>
  <si>
    <t>70010-40100</t>
  </si>
  <si>
    <t xml:space="preserve">     Ancillary Fee Campaign </t>
  </si>
  <si>
    <t xml:space="preserve">     Quality Education Booklet</t>
  </si>
  <si>
    <t xml:space="preserve">     Quality of Student Life Conference</t>
  </si>
  <si>
    <t xml:space="preserve">     Volunteer Appreciation</t>
  </si>
  <si>
    <t>68100-40100</t>
  </si>
  <si>
    <t>67040-40100</t>
  </si>
  <si>
    <t>41100 - Academic Affairs</t>
  </si>
  <si>
    <t>65010-41100</t>
  </si>
  <si>
    <t>65070-41100</t>
  </si>
  <si>
    <t>64040-41100</t>
  </si>
  <si>
    <t>Academic Affairs Commissioner</t>
  </si>
  <si>
    <t>Co-op Affairs Commissioner</t>
  </si>
  <si>
    <t>CAPS Coordinator</t>
  </si>
  <si>
    <t>70010-41100</t>
  </si>
  <si>
    <t>66030-41100</t>
  </si>
  <si>
    <t>64080-41100</t>
  </si>
  <si>
    <t>University Advocacy Week</t>
  </si>
  <si>
    <t>WUSA Staff Awards</t>
  </si>
  <si>
    <t>WUSA Teaching Awards</t>
  </si>
  <si>
    <t>Coop Affairs/Fee Review/CSC</t>
  </si>
  <si>
    <t>66010-41100</t>
  </si>
  <si>
    <t>Fix My Lecture Campaign</t>
  </si>
  <si>
    <t>Surveys</t>
  </si>
  <si>
    <t>Society Relations</t>
  </si>
  <si>
    <t>Entertaiment/Promo/ Mtgs</t>
  </si>
  <si>
    <t>41200 - Government Affairs</t>
  </si>
  <si>
    <t>Budget 17/118</t>
  </si>
  <si>
    <t>Budget 16/18</t>
  </si>
  <si>
    <t>64040-41200</t>
  </si>
  <si>
    <t>PT Salary</t>
  </si>
  <si>
    <t>Prov. &amp; Fed. Affairs Commissioner</t>
  </si>
  <si>
    <t>Special Projects/Events</t>
  </si>
  <si>
    <t xml:space="preserve">     Elections Advertising</t>
  </si>
  <si>
    <t xml:space="preserve">     Events</t>
  </si>
  <si>
    <t>Entertaiment/Promo Mtgs</t>
  </si>
  <si>
    <t>41300 - Local Affairs</t>
  </si>
  <si>
    <t>Municipal Affairs Commissioner</t>
  </si>
  <si>
    <t>Local advocacy week</t>
  </si>
  <si>
    <t>Waterloo in Winter</t>
  </si>
  <si>
    <t>Community Info Fairs</t>
  </si>
  <si>
    <t>Roundtables (students and politicians)</t>
  </si>
  <si>
    <t>41400 - OUSA</t>
  </si>
  <si>
    <t>Budget 11/122</t>
  </si>
  <si>
    <t>6305-3600</t>
  </si>
  <si>
    <t>66050-41400</t>
  </si>
  <si>
    <t>Note: OUSA expenses are tied 1-to-1 with student fee payment by contract, if fewer students opt-out then this expense will exceed the budgetted amount.</t>
  </si>
  <si>
    <t>70010-41400</t>
  </si>
  <si>
    <t>66030-41400</t>
  </si>
  <si>
    <t>64040-41400</t>
  </si>
  <si>
    <t>P/T Salary Wage</t>
  </si>
  <si>
    <t>41500 - Stakeholder Relations Officer</t>
  </si>
  <si>
    <t>65010-41500</t>
  </si>
  <si>
    <t>65030-41500</t>
  </si>
  <si>
    <t>65070-41500</t>
  </si>
  <si>
    <t>65090-41500</t>
  </si>
  <si>
    <t>66010-41500</t>
  </si>
  <si>
    <t>66030-41500</t>
  </si>
  <si>
    <t>70010-41500</t>
  </si>
  <si>
    <t>68100-41500</t>
  </si>
  <si>
    <t>67040-41500</t>
  </si>
  <si>
    <t xml:space="preserve">Staff Relations </t>
  </si>
  <si>
    <t>Operations &amp; Finance Portolio Summary</t>
  </si>
  <si>
    <t>VPOF (10100)</t>
  </si>
  <si>
    <t>Director of Operations &amp; Development (11100)</t>
  </si>
  <si>
    <t>Operations (11000) &amp; Facilities (15000)</t>
  </si>
  <si>
    <t>Information Technology (14000) - 90% Student Fee</t>
  </si>
  <si>
    <t>General Office (13000)</t>
  </si>
  <si>
    <t>Marketing &amp; Communications (16000)</t>
  </si>
  <si>
    <t>General Office (13000) - 90% Student Fee</t>
  </si>
  <si>
    <t>Services Salaries</t>
  </si>
  <si>
    <t>Unit Profit (Loss)</t>
  </si>
  <si>
    <t>VP Ops &amp; Finance</t>
  </si>
  <si>
    <t>Dir. Ops &amp; Dev</t>
  </si>
  <si>
    <t>Ops &amp; Facilities</t>
  </si>
  <si>
    <t>IT</t>
  </si>
  <si>
    <t>GO less Serv. Slaries</t>
  </si>
  <si>
    <t>Marketing &amp; Comms</t>
  </si>
  <si>
    <t>Net</t>
  </si>
  <si>
    <t>10100 - Vice President Operations &amp; Finance</t>
  </si>
  <si>
    <t>A Part of the Operations &amp; Finance Portfolio</t>
  </si>
  <si>
    <t>Fund Accr. Admin.</t>
  </si>
  <si>
    <t>60020-10100</t>
  </si>
  <si>
    <t>Student Event Venue Subsidy</t>
  </si>
  <si>
    <t>64010-10100</t>
  </si>
  <si>
    <t>PT Wage</t>
  </si>
  <si>
    <t>64080-10100</t>
  </si>
  <si>
    <t>65010-10100</t>
  </si>
  <si>
    <t>65020-10100</t>
  </si>
  <si>
    <t>65030-10100</t>
  </si>
  <si>
    <t>65070-10100</t>
  </si>
  <si>
    <t>65080-10100</t>
  </si>
  <si>
    <t>65090-10100</t>
  </si>
  <si>
    <t>66010-10100</t>
  </si>
  <si>
    <t>66030-10100</t>
  </si>
  <si>
    <t>67040-10100</t>
  </si>
  <si>
    <t>68100-10100</t>
  </si>
  <si>
    <t>70010-10100</t>
  </si>
  <si>
    <t>Criterion License</t>
  </si>
  <si>
    <t>Transition Honoraria</t>
  </si>
  <si>
    <t>Internal Funding Committee (Special Projects Fund)</t>
  </si>
  <si>
    <t>11100 - Director Operations &amp; Development</t>
  </si>
  <si>
    <t>Transfers-in (Commerical Operations, 30%)</t>
  </si>
  <si>
    <t>65010-11100</t>
  </si>
  <si>
    <t>65020-11100</t>
  </si>
  <si>
    <t>65090-11100</t>
  </si>
  <si>
    <t>65150-11100</t>
  </si>
  <si>
    <t>66010-11100</t>
  </si>
  <si>
    <t>Entertainment/Promo/Meeting</t>
  </si>
  <si>
    <t>66030-11100</t>
  </si>
  <si>
    <t>Travel/Conference/Prof Dev</t>
  </si>
  <si>
    <t>67040-11100</t>
  </si>
  <si>
    <t>68080-11100</t>
  </si>
  <si>
    <t>65070-11100</t>
  </si>
  <si>
    <t>70010-11100</t>
  </si>
  <si>
    <t>Operations &amp; Facilities Budget</t>
  </si>
  <si>
    <t xml:space="preserve">Revenues </t>
  </si>
  <si>
    <t>Budget 18/19 (to Mar 24)</t>
  </si>
  <si>
    <t>Actuals 18/19</t>
  </si>
  <si>
    <t>Percent Change (Budget to Actuals)</t>
  </si>
  <si>
    <t>INews</t>
  </si>
  <si>
    <t>Caffeine Dispensary</t>
  </si>
  <si>
    <t>Feds Used Books</t>
  </si>
  <si>
    <t>Makers Kitchen</t>
  </si>
  <si>
    <t>Bombshelter Pub</t>
  </si>
  <si>
    <t>Student Life Centre</t>
  </si>
  <si>
    <t>Cost of Goods/Sales</t>
  </si>
  <si>
    <t>F/T Business Unit Salaries</t>
  </si>
  <si>
    <t>10% General Office</t>
  </si>
  <si>
    <t>10% IT</t>
  </si>
  <si>
    <t>Transfers-out (Director of Operations &amp; Development, 50%)</t>
  </si>
  <si>
    <t>%Loss Bottomline</t>
  </si>
  <si>
    <t>without Dispensary</t>
  </si>
  <si>
    <t>***Notes on the Income Statement:</t>
  </si>
  <si>
    <t>Unit Performance without overhead costs</t>
  </si>
  <si>
    <t>Operations &amp; Facilities Profit (Loss)</t>
  </si>
  <si>
    <t>Inews</t>
  </si>
  <si>
    <t>C. Disp.</t>
  </si>
  <si>
    <t>FUB</t>
  </si>
  <si>
    <t>Makers</t>
  </si>
  <si>
    <t>Business Unit Net</t>
  </si>
  <si>
    <t>Includes Salaries, but not overheads!</t>
  </si>
  <si>
    <t>Facilities: Net Profit</t>
  </si>
  <si>
    <t>SLC</t>
  </si>
  <si>
    <t>Facilities Net</t>
  </si>
  <si>
    <t>CONFIDENTIAL</t>
  </si>
  <si>
    <t>Marketing &amp; Communications Budget</t>
  </si>
  <si>
    <t>% Difference from prior FY</t>
  </si>
  <si>
    <t>Marketing - General</t>
  </si>
  <si>
    <t>Communications</t>
  </si>
  <si>
    <t>Handbook</t>
  </si>
  <si>
    <t>Marketing - Advocacy</t>
  </si>
  <si>
    <t>Marketing - Campus Life</t>
  </si>
  <si>
    <t>Marketing - Research, Clubs &amp; Societies</t>
  </si>
  <si>
    <t>Marketing - Commerical Operations</t>
  </si>
  <si>
    <t>Marketing General</t>
  </si>
  <si>
    <t>A part of the Marketing &amp; Communications Budget</t>
  </si>
  <si>
    <t>Bugdet 19/20</t>
  </si>
  <si>
    <t>Bugdet 19/21</t>
  </si>
  <si>
    <t>16100-50090</t>
  </si>
  <si>
    <t>16100-50100</t>
  </si>
  <si>
    <t>Advertising Business (20% of total)</t>
  </si>
  <si>
    <t>16100-50110</t>
  </si>
  <si>
    <t>Poster Runs</t>
  </si>
  <si>
    <t>16100-64040</t>
  </si>
  <si>
    <t>Salaries &amp; Wages P/T</t>
  </si>
  <si>
    <t>16100-65010</t>
  </si>
  <si>
    <t>16100-65020</t>
  </si>
  <si>
    <t>16100-65070</t>
  </si>
  <si>
    <t>16100-65080</t>
  </si>
  <si>
    <t>16100-65090</t>
  </si>
  <si>
    <t>General Office/Computer Supply</t>
  </si>
  <si>
    <t>16100-66010</t>
  </si>
  <si>
    <t>16100-67075</t>
  </si>
  <si>
    <t>Promotions</t>
  </si>
  <si>
    <t>16100-66030</t>
  </si>
  <si>
    <t>Travel/Conf/Wkp/Prof Dev</t>
  </si>
  <si>
    <t>16100-67080</t>
  </si>
  <si>
    <t>Advertising Events (CL)</t>
  </si>
  <si>
    <t>Advertising Advocacy</t>
  </si>
  <si>
    <t>Advertising Business</t>
  </si>
  <si>
    <t xml:space="preserve">Advertising Services </t>
  </si>
  <si>
    <t>16100-67040</t>
  </si>
  <si>
    <t>16100-70010</t>
  </si>
  <si>
    <t>16100-68100</t>
  </si>
  <si>
    <t>Ticket Sales</t>
  </si>
  <si>
    <t>16200-64040</t>
  </si>
  <si>
    <t xml:space="preserve"> Salaries &amp; Wages P/T </t>
  </si>
  <si>
    <t>16200-65010</t>
  </si>
  <si>
    <t xml:space="preserve"> Telephone </t>
  </si>
  <si>
    <t>16200-65020</t>
  </si>
  <si>
    <t xml:space="preserve"> Cell Phone </t>
  </si>
  <si>
    <t xml:space="preserve"> Fax </t>
  </si>
  <si>
    <t>16200-65070</t>
  </si>
  <si>
    <t xml:space="preserve"> Photocopying </t>
  </si>
  <si>
    <t xml:space="preserve"> $               -  </t>
  </si>
  <si>
    <t>16200-65080</t>
  </si>
  <si>
    <t xml:space="preserve"> Printing/Graphic </t>
  </si>
  <si>
    <t>16200-65090</t>
  </si>
  <si>
    <t xml:space="preserve"> General Office/Computer Supply </t>
  </si>
  <si>
    <t>16200-66010</t>
  </si>
  <si>
    <t xml:space="preserve"> Entertainment/Promo/Meeting </t>
  </si>
  <si>
    <t>16200-67075</t>
  </si>
  <si>
    <t xml:space="preserve"> Promotions / Digital Ads</t>
  </si>
  <si>
    <t>16200-66030</t>
  </si>
  <si>
    <t xml:space="preserve"> Travel/Conf/Wkp/Prof Developm </t>
  </si>
  <si>
    <t>16200-66050</t>
  </si>
  <si>
    <t xml:space="preserve"> Memberships/Subscriptions</t>
  </si>
  <si>
    <t xml:space="preserve"> Squarecrop </t>
  </si>
  <si>
    <t xml:space="preserve"> Amortization </t>
  </si>
  <si>
    <t>16200-70010</t>
  </si>
  <si>
    <t xml:space="preserve"> Special Projects </t>
  </si>
  <si>
    <t xml:space="preserve"> Print Materials </t>
  </si>
  <si>
    <t xml:space="preserve"> Video Projects </t>
  </si>
  <si>
    <t xml:space="preserve"> Web Projects </t>
  </si>
  <si>
    <t>Student Handbook</t>
  </si>
  <si>
    <t>16300-5090</t>
  </si>
  <si>
    <t>Proposed 16/17</t>
  </si>
  <si>
    <t>16300-64040</t>
  </si>
  <si>
    <t>Salaries And P/T Wages</t>
  </si>
  <si>
    <t>Postage &amp; Shipping</t>
  </si>
  <si>
    <t xml:space="preserve"> $                    -  </t>
  </si>
  <si>
    <t xml:space="preserve"> $                       -  </t>
  </si>
  <si>
    <t>Commission</t>
  </si>
  <si>
    <t>Fax/photocopying</t>
  </si>
  <si>
    <t>16300-65080</t>
  </si>
  <si>
    <t>Mobile Handbook</t>
  </si>
  <si>
    <t>Funding from Endowment Funds Promotion</t>
  </si>
  <si>
    <t>16400-64040</t>
  </si>
  <si>
    <t>16400-65010</t>
  </si>
  <si>
    <t>Budget 19-20</t>
  </si>
  <si>
    <t>Budget 19-21</t>
  </si>
  <si>
    <t>16400-65020</t>
  </si>
  <si>
    <t>16400-65070</t>
  </si>
  <si>
    <t>16400-65080</t>
  </si>
  <si>
    <t>16400-65090</t>
  </si>
  <si>
    <t>16400-66010</t>
  </si>
  <si>
    <t>16400-67075</t>
  </si>
  <si>
    <t>16400-67080</t>
  </si>
  <si>
    <t>New- please create code</t>
  </si>
  <si>
    <t>Advertising Special Projects</t>
  </si>
  <si>
    <t>16400-67370</t>
  </si>
  <si>
    <t>16400-67380</t>
  </si>
  <si>
    <t>Advertising Elections</t>
  </si>
  <si>
    <t>NEW - please create code</t>
  </si>
  <si>
    <t>Advertising - General Meetings</t>
  </si>
  <si>
    <t>Marketing - Campus Life, Services, &amp; Programming</t>
  </si>
  <si>
    <t>actual 15/16</t>
  </si>
  <si>
    <t>Salaries and Wages P/T</t>
  </si>
  <si>
    <t>16500-65010</t>
  </si>
  <si>
    <t>16500-65020</t>
  </si>
  <si>
    <t>16500-65070</t>
  </si>
  <si>
    <t>16500-65080</t>
  </si>
  <si>
    <t>16500-65090</t>
  </si>
  <si>
    <t>16500-66010</t>
  </si>
  <si>
    <t>16500-67080</t>
  </si>
  <si>
    <t>16500-67100</t>
  </si>
  <si>
    <t>Advertisin All Services</t>
  </si>
  <si>
    <t>16500-67210</t>
  </si>
  <si>
    <t>Advertising CRT</t>
  </si>
  <si>
    <t>16500-67220</t>
  </si>
  <si>
    <t>Advertising Womens Centre</t>
  </si>
  <si>
    <t>16500-67230</t>
  </si>
  <si>
    <t>Advertising Glow</t>
  </si>
  <si>
    <t>16500-67240</t>
  </si>
  <si>
    <t>Advertising SCI</t>
  </si>
  <si>
    <t>16500-67250</t>
  </si>
  <si>
    <t>Advertising Student Food Bank</t>
  </si>
  <si>
    <t>16500-67260</t>
  </si>
  <si>
    <t>Advertising OCC</t>
  </si>
  <si>
    <t>16500-67270</t>
  </si>
  <si>
    <t>Advertising ICSN</t>
  </si>
  <si>
    <t>16500-67280</t>
  </si>
  <si>
    <t>Advertising Coop Connection</t>
  </si>
  <si>
    <t>16500-67290</t>
  </si>
  <si>
    <t>Advertising Volunteer Centre</t>
  </si>
  <si>
    <t>16500-67300</t>
  </si>
  <si>
    <t>Advertising Bike Centre</t>
  </si>
  <si>
    <t>16500-67360</t>
  </si>
  <si>
    <t>Advertising Mates</t>
  </si>
  <si>
    <t>16500-67350</t>
  </si>
  <si>
    <t>Advertising Warrior Tribe</t>
  </si>
  <si>
    <t>16500-67540</t>
  </si>
  <si>
    <t>Advertising RAISE</t>
  </si>
  <si>
    <t>16500-67310</t>
  </si>
  <si>
    <t>Advertising Welcome Week</t>
  </si>
  <si>
    <t>16500-67320</t>
  </si>
  <si>
    <t>Advertising Wellness Days</t>
  </si>
  <si>
    <t>Advertising Centre for Academic Policy Support (CAPS)</t>
  </si>
  <si>
    <t>Advertising Wrap Up Week</t>
  </si>
  <si>
    <t>Advertising WTF</t>
  </si>
  <si>
    <t>16500-67340</t>
  </si>
  <si>
    <t>Advertising ICW</t>
  </si>
  <si>
    <t>16500-70010</t>
  </si>
  <si>
    <t>Services Special Projects</t>
  </si>
  <si>
    <t>Marketing -Research, Clubs &amp; Societies</t>
  </si>
  <si>
    <t>16700-65010</t>
  </si>
  <si>
    <t>16700-65020</t>
  </si>
  <si>
    <t>16700-65070</t>
  </si>
  <si>
    <t>16700-65080</t>
  </si>
  <si>
    <t>16700-65090</t>
  </si>
  <si>
    <t>16700-66010</t>
  </si>
  <si>
    <t>16700-67075</t>
  </si>
  <si>
    <t>16700-67080</t>
  </si>
  <si>
    <t>16700-67105</t>
  </si>
  <si>
    <t>Advertising All Clubs</t>
  </si>
  <si>
    <t>16700-67500</t>
  </si>
  <si>
    <t>Advertising Mystery Shop</t>
  </si>
  <si>
    <t>16700-67510</t>
  </si>
  <si>
    <t>Advertising Clubs Community Centre</t>
  </si>
  <si>
    <t>16700-67110</t>
  </si>
  <si>
    <t>Advertising Special Events</t>
  </si>
  <si>
    <t>16700-67200</t>
  </si>
  <si>
    <t>Research</t>
  </si>
  <si>
    <t>Loyalty Program</t>
  </si>
  <si>
    <t>16700-67530</t>
  </si>
  <si>
    <t>Census</t>
  </si>
  <si>
    <t>16700-70010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</si>
</sst>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7" formatCode="&quot;$&quot;#,##0.00_);\(&quot;$&quot;#,##0.00\)"/>
    <numFmt numFmtId="8" formatCode="&quot;$&quot;#,##0.00_);[Red]\(&quot;$&quot;#,##0.00\)"/>
    <numFmt numFmtId="44" formatCode="_(&quot;$&quot;* #,##0.00_);_(&quot;$&quot;* \(#,##0.00\);_(&quot;$&quot;* &quot;-&quot;??_);_(@_)"/>
    <numFmt numFmtId="43" formatCode="_(* #,##0.00_);_(* \(#,##0.00\);_(* &quot;-&quot;??_);_(@_)"/>
    <numFmt numFmtId="164" formatCode="&quot;$&quot;#,##0;[Red]\-&quot;$&quot;#,##0"/>
    <numFmt numFmtId="165" formatCode="&quot;$&quot;#,##0.00;[Red]\-&quot;$&quot;#,##0.00"/>
    <numFmt numFmtId="166" formatCode="_-&quot;$&quot;* #,##0.00_-;\-&quot;$&quot;* #,##0.00_-;_-&quot;$&quot;* &quot;-&quot;??_-;_-@_-"/>
    <numFmt numFmtId="167" formatCode="_-* #,##0.00_-;\-* #,##0.00_-;_-* &quot;-&quot;??_-;_-@_-"/>
    <numFmt numFmtId="168" formatCode="&quot;$&quot;#,##0.00"/>
    <numFmt numFmtId="169" formatCode="_(* #,##0_);_(* \(#,##0\);_(* &quot;-&quot;??_);_(@_)"/>
    <numFmt numFmtId="170" formatCode="[$-F800]dddd\,\ mmmm\ dd\,\ yyyy"/>
    <numFmt numFmtId="171" formatCode="[&gt;=0]#,##0.00;\(#,##0.00\)"/>
    <numFmt numFmtId="172" formatCode="&quot; $&quot;#,##0.00\ ;&quot; $(&quot;#,##0.00\);&quot; $-&quot;#\ ;@\ "/>
    <numFmt numFmtId="173" formatCode="_-[$$-1009]* #,##0.00_-;\-[$$-1009]* #,##0.00_-;_-[$$-1009]* &quot;-&quot;??_-;_-@_-"/>
  </numFmts>
  <fonts count="112">
    <font>
      <sz val="10"/>
      <name val="Arial"/>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color indexed="81"/>
      <name val="Tahoma"/>
      <family val="2"/>
    </font>
    <font>
      <b/>
      <sz val="8"/>
      <color indexed="81"/>
      <name val="Tahoma"/>
      <family val="2"/>
    </font>
    <font>
      <sz val="9"/>
      <color indexed="81"/>
      <name val="Arial"/>
      <family val="2"/>
    </font>
    <font>
      <b/>
      <sz val="9"/>
      <color indexed="81"/>
      <name val="Arial"/>
      <family val="2"/>
    </font>
    <font>
      <sz val="9"/>
      <color indexed="81"/>
      <name val="Tahoma"/>
      <family val="2"/>
    </font>
    <font>
      <b/>
      <sz val="9"/>
      <color indexed="81"/>
      <name val="Tahoma"/>
      <family val="2"/>
    </font>
    <font>
      <sz val="10"/>
      <name val="MS Sans Serif"/>
      <family val="2"/>
    </font>
    <font>
      <sz val="10"/>
      <name val="Arial"/>
      <family val="2"/>
    </font>
    <font>
      <sz val="10"/>
      <name val="Calibri"/>
      <family val="2"/>
      <scheme val="minor"/>
    </font>
    <font>
      <sz val="20"/>
      <name val="Calibri"/>
      <family val="2"/>
      <scheme val="minor"/>
    </font>
    <font>
      <b/>
      <sz val="22"/>
      <name val="Calibri Light"/>
      <family val="2"/>
    </font>
    <font>
      <i/>
      <sz val="18"/>
      <name val="Calibri"/>
      <family val="2"/>
      <scheme val="minor"/>
    </font>
    <font>
      <i/>
      <sz val="16"/>
      <name val="Calibri"/>
      <family val="2"/>
      <scheme val="minor"/>
    </font>
    <font>
      <b/>
      <sz val="12"/>
      <name val="Calibri"/>
      <family val="2"/>
      <scheme val="minor"/>
    </font>
    <font>
      <b/>
      <sz val="14"/>
      <name val="Calibri"/>
      <family val="2"/>
      <scheme val="minor"/>
    </font>
    <font>
      <sz val="12"/>
      <name val="Calibri"/>
      <family val="2"/>
      <scheme val="minor"/>
    </font>
    <font>
      <b/>
      <sz val="10"/>
      <name val="Calibri"/>
      <family val="2"/>
      <scheme val="minor"/>
    </font>
    <font>
      <sz val="10"/>
      <name val="Calibri"/>
      <family val="2"/>
    </font>
    <font>
      <i/>
      <sz val="10"/>
      <name val="Calibri"/>
      <family val="2"/>
      <scheme val="minor"/>
    </font>
    <font>
      <sz val="10"/>
      <color indexed="8"/>
      <name val="Calibri"/>
      <family val="2"/>
      <scheme val="minor"/>
    </font>
    <font>
      <b/>
      <u/>
      <sz val="18"/>
      <name val="Calibri Light"/>
      <family val="2"/>
    </font>
    <font>
      <sz val="10"/>
      <color indexed="81"/>
      <name val="Tahoma"/>
      <family val="2"/>
    </font>
    <font>
      <b/>
      <sz val="10"/>
      <color indexed="81"/>
      <name val="Tahom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name val="Arial"/>
      <family val="2"/>
    </font>
    <font>
      <sz val="12"/>
      <name val="Times New Roman"/>
      <family val="1"/>
    </font>
    <font>
      <sz val="12"/>
      <color theme="1"/>
      <name val="Calibri"/>
      <family val="2"/>
      <scheme val="minor"/>
    </font>
    <font>
      <sz val="10"/>
      <color theme="1"/>
      <name val="Calibri"/>
      <family val="2"/>
      <scheme val="minor"/>
    </font>
    <font>
      <b/>
      <sz val="12"/>
      <name val="Humanst521 BT"/>
    </font>
    <font>
      <b/>
      <sz val="10"/>
      <name val="Humanst521 BT"/>
    </font>
    <font>
      <sz val="10"/>
      <name val="Humanst521 BT"/>
    </font>
    <font>
      <b/>
      <sz val="14"/>
      <color theme="0"/>
      <name val="Calibri"/>
      <family val="2"/>
      <scheme val="minor"/>
    </font>
    <font>
      <b/>
      <sz val="14"/>
      <name val="Humnst777 BlkCn BT Black"/>
    </font>
    <font>
      <b/>
      <i/>
      <sz val="10"/>
      <name val="Humanst521 BT"/>
    </font>
    <font>
      <i/>
      <sz val="9"/>
      <name val="Calibri"/>
      <family val="2"/>
      <scheme val="minor"/>
    </font>
    <font>
      <i/>
      <sz val="9"/>
      <name val="Calibri"/>
      <family val="2"/>
    </font>
    <font>
      <u/>
      <sz val="10"/>
      <name val="Calibri"/>
      <family val="2"/>
      <scheme val="minor"/>
    </font>
    <font>
      <b/>
      <sz val="11"/>
      <color theme="0"/>
      <name val="Calibri"/>
      <family val="2"/>
      <scheme val="minor"/>
    </font>
    <font>
      <b/>
      <sz val="11"/>
      <name val="Calibri"/>
      <family val="2"/>
      <scheme val="minor"/>
    </font>
    <font>
      <sz val="11"/>
      <name val="Calibri"/>
      <family val="2"/>
      <scheme val="minor"/>
    </font>
    <font>
      <sz val="10"/>
      <color rgb="FF000000"/>
      <name val="Arial"/>
      <family val="2"/>
    </font>
    <font>
      <sz val="10"/>
      <name val="MS Sans Serif"/>
    </font>
    <font>
      <sz val="10"/>
      <name val="Arial"/>
      <family val="2"/>
    </font>
    <font>
      <b/>
      <sz val="12"/>
      <color theme="0"/>
      <name val="Calibri"/>
      <family val="2"/>
      <scheme val="minor"/>
    </font>
    <font>
      <b/>
      <sz val="10"/>
      <color theme="0"/>
      <name val="Calibri"/>
      <family val="2"/>
      <scheme val="minor"/>
    </font>
    <font>
      <sz val="10"/>
      <color rgb="FFFF0000"/>
      <name val="Calibri"/>
      <family val="2"/>
      <scheme val="minor"/>
    </font>
    <font>
      <sz val="10"/>
      <color rgb="FFFF0000"/>
      <name val="Arial"/>
      <family val="2"/>
    </font>
    <font>
      <sz val="10"/>
      <color theme="0"/>
      <name val="Calibri"/>
      <family val="2"/>
      <scheme val="minor"/>
    </font>
    <font>
      <sz val="8"/>
      <name val="Arial"/>
      <family val="2"/>
    </font>
    <font>
      <sz val="9"/>
      <name val="Calibri"/>
      <family val="2"/>
      <scheme val="minor"/>
    </font>
    <font>
      <sz val="10"/>
      <color rgb="FF000000"/>
      <name val="Arial"/>
      <family val="2"/>
    </font>
    <font>
      <sz val="9"/>
      <name val="Arial"/>
      <family val="2"/>
    </font>
    <font>
      <sz val="10"/>
      <name val="Calibri"/>
      <scheme val="minor"/>
    </font>
    <font>
      <sz val="9"/>
      <color indexed="81"/>
      <name val="Tahoma"/>
      <charset val="1"/>
    </font>
    <font>
      <b/>
      <sz val="9"/>
      <color indexed="81"/>
      <name val="Tahoma"/>
      <charset val="1"/>
    </font>
    <font>
      <b/>
      <sz val="11"/>
      <color theme="1"/>
      <name val="Calibri"/>
      <family val="2"/>
      <scheme val="minor"/>
    </font>
    <font>
      <sz val="11"/>
      <color theme="0"/>
      <name val="Calibri"/>
      <family val="2"/>
      <scheme val="minor"/>
    </font>
    <font>
      <sz val="9"/>
      <color theme="1"/>
      <name val="Calibri"/>
      <family val="2"/>
      <scheme val="minor"/>
    </font>
    <font>
      <b/>
      <i/>
      <sz val="11"/>
      <color theme="1"/>
      <name val="Calibri"/>
      <family val="2"/>
      <scheme val="minor"/>
    </font>
    <font>
      <b/>
      <sz val="16"/>
      <color theme="1"/>
      <name val="Calibri"/>
      <family val="2"/>
      <scheme val="minor"/>
    </font>
    <font>
      <b/>
      <sz val="10"/>
      <name val="Arial"/>
      <family val="2"/>
    </font>
    <font>
      <b/>
      <sz val="14"/>
      <name val="Arial"/>
      <family val="2"/>
    </font>
    <font>
      <sz val="10"/>
      <name val="Arial"/>
    </font>
    <font>
      <sz val="11"/>
      <color rgb="FF006100"/>
      <name val="Calibri"/>
      <family val="2"/>
      <scheme val="minor"/>
    </font>
    <font>
      <sz val="12"/>
      <name val="Times New Roman"/>
    </font>
    <font>
      <sz val="11"/>
      <name val="Times New Roman"/>
      <family val="1"/>
    </font>
    <font>
      <b/>
      <sz val="11"/>
      <name val="Times New Roman"/>
      <family val="1"/>
    </font>
    <font>
      <i/>
      <sz val="11"/>
      <color theme="1"/>
      <name val="Calibri"/>
      <family val="2"/>
      <scheme val="minor"/>
    </font>
    <font>
      <u/>
      <sz val="10"/>
      <color theme="10"/>
      <name val="Arial"/>
      <family val="2"/>
    </font>
    <font>
      <b/>
      <sz val="8"/>
      <name val="Arial"/>
      <family val="2"/>
    </font>
    <font>
      <sz val="10"/>
      <name val="Calibri"/>
    </font>
    <font>
      <sz val="15"/>
      <color theme="1"/>
      <name val="Calibri"/>
      <family val="2"/>
      <scheme val="minor"/>
    </font>
    <font>
      <sz val="10"/>
      <color indexed="8"/>
      <name val="Calibri"/>
      <scheme val="minor"/>
    </font>
    <font>
      <sz val="10"/>
      <color theme="1"/>
      <name val="Arial"/>
      <family val="2"/>
    </font>
    <font>
      <b/>
      <sz val="9"/>
      <color theme="1"/>
      <name val="Calibri"/>
      <family val="2"/>
      <scheme val="minor"/>
    </font>
    <font>
      <b/>
      <i/>
      <u/>
      <sz val="18"/>
      <name val="Calibri Light"/>
      <family val="2"/>
    </font>
  </fonts>
  <fills count="3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rgb="FFE6B121"/>
        <bgColor indexed="64"/>
      </patternFill>
    </fill>
    <fill>
      <patternFill patternType="solid">
        <fgColor theme="1"/>
        <bgColor indexed="64"/>
      </patternFill>
    </fill>
    <fill>
      <patternFill patternType="solid">
        <fgColor theme="5" tint="0.59999389629810485"/>
        <bgColor indexed="64"/>
      </patternFill>
    </fill>
    <fill>
      <patternFill patternType="solid">
        <fgColor theme="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4" tint="0.79998168889431442"/>
        <bgColor indexed="64"/>
      </patternFill>
    </fill>
    <fill>
      <patternFill patternType="solid">
        <fgColor rgb="FFC6EFCE"/>
      </patternFill>
    </fill>
    <fill>
      <patternFill patternType="solid">
        <fgColor rgb="FFFF0000"/>
        <bgColor indexed="64"/>
      </patternFill>
    </fill>
    <fill>
      <patternFill patternType="solid">
        <fgColor rgb="FF92D050"/>
        <bgColor indexed="64"/>
      </patternFill>
    </fill>
  </fills>
  <borders count="1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top style="double">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auto="1"/>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auto="1"/>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top style="thin">
        <color theme="0"/>
      </top>
      <bottom/>
      <diagonal/>
    </border>
    <border>
      <left/>
      <right/>
      <top/>
      <bottom style="thin">
        <color theme="0"/>
      </bottom>
      <diagonal/>
    </border>
    <border>
      <left/>
      <right/>
      <top style="thin">
        <color theme="0"/>
      </top>
      <bottom style="thin">
        <color theme="0"/>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top/>
      <bottom style="thin">
        <color theme="0" tint="-0.14999847407452621"/>
      </bottom>
      <diagonal/>
    </border>
    <border>
      <left style="thin">
        <color indexed="64"/>
      </left>
      <right style="thin">
        <color theme="0" tint="-0.14999847407452621"/>
      </right>
      <top style="thin">
        <color theme="0"/>
      </top>
      <bottom style="thin">
        <color theme="0"/>
      </bottom>
      <diagonal/>
    </border>
    <border>
      <left/>
      <right/>
      <top style="thin">
        <color theme="0" tint="-0.14999847407452621"/>
      </top>
      <bottom style="thin">
        <color indexed="64"/>
      </bottom>
      <diagonal/>
    </border>
    <border>
      <left/>
      <right style="thin">
        <color indexed="64"/>
      </right>
      <top style="medium">
        <color indexed="64"/>
      </top>
      <bottom style="medium">
        <color indexed="64"/>
      </bottom>
      <diagonal/>
    </border>
    <border>
      <left/>
      <right/>
      <top style="medium">
        <color theme="0"/>
      </top>
      <bottom/>
      <diagonal/>
    </border>
    <border>
      <left/>
      <right/>
      <top/>
      <bottom style="medium">
        <color theme="0"/>
      </bottom>
      <diagonal/>
    </border>
    <border>
      <left/>
      <right/>
      <top style="medium">
        <color theme="0" tint="-0.1499984740745262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right/>
      <top style="thin">
        <color theme="0" tint="-4.9989318521683403E-2"/>
      </top>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right style="medium">
        <color theme="1"/>
      </right>
      <top style="medium">
        <color indexed="64"/>
      </top>
      <bottom style="medium">
        <color indexed="64"/>
      </bottom>
      <diagonal/>
    </border>
    <border>
      <left/>
      <right/>
      <top style="medium">
        <color theme="0"/>
      </top>
      <bottom style="medium">
        <color theme="0"/>
      </bottom>
      <diagonal/>
    </border>
    <border>
      <left/>
      <right/>
      <top style="medium">
        <color theme="0" tint="-0.14999847407452621"/>
      </top>
      <bottom style="medium">
        <color theme="0" tint="-0.1499984740745262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top style="thin">
        <color indexed="64"/>
      </top>
      <bottom style="medium">
        <color indexed="64"/>
      </bottom>
      <diagonal/>
    </border>
    <border>
      <left style="thin">
        <color auto="1"/>
      </left>
      <right style="thin">
        <color auto="1"/>
      </right>
      <top/>
      <bottom style="medium">
        <color indexed="64"/>
      </bottom>
      <diagonal/>
    </border>
    <border>
      <left style="thin">
        <color auto="1"/>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auto="1"/>
      </left>
      <right/>
      <top style="medium">
        <color auto="1"/>
      </top>
      <bottom style="medium">
        <color auto="1"/>
      </bottom>
      <diagonal/>
    </border>
    <border>
      <left style="thin">
        <color indexed="64"/>
      </left>
      <right style="medium">
        <color indexed="64"/>
      </right>
      <top style="medium">
        <color auto="1"/>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style="medium">
        <color theme="0"/>
      </top>
      <bottom style="thin">
        <color indexed="64"/>
      </bottom>
      <diagonal/>
    </border>
    <border>
      <left/>
      <right/>
      <top/>
      <bottom style="medium">
        <color theme="0" tint="-0.14999847407452621"/>
      </bottom>
      <diagonal/>
    </border>
    <border>
      <left/>
      <right/>
      <top style="thin">
        <color theme="0"/>
      </top>
      <bottom style="medium">
        <color theme="0"/>
      </bottom>
      <diagonal/>
    </border>
    <border>
      <left/>
      <right/>
      <top style="thin">
        <color theme="0" tint="-0.14999847407452621"/>
      </top>
      <bottom style="medium">
        <color theme="0" tint="-0.14999847407452621"/>
      </bottom>
      <diagonal/>
    </border>
    <border>
      <left/>
      <right style="thin">
        <color indexed="64"/>
      </right>
      <top/>
      <bottom style="double">
        <color indexed="64"/>
      </bottom>
      <diagonal/>
    </border>
    <border>
      <left/>
      <right style="thin">
        <color indexed="64"/>
      </right>
      <top style="thin">
        <color indexed="64"/>
      </top>
      <bottom/>
      <diagonal/>
    </border>
    <border>
      <left style="thin">
        <color auto="1"/>
      </left>
      <right style="thin">
        <color auto="1"/>
      </right>
      <top style="thin">
        <color auto="1"/>
      </top>
      <bottom/>
      <diagonal/>
    </border>
  </borders>
  <cellStyleXfs count="2256">
    <xf numFmtId="0" fontId="0" fillId="0" borderId="0"/>
    <xf numFmtId="43" fontId="18"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4" fontId="1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9" fillId="0" borderId="0" applyFont="0" applyFill="0" applyBorder="0" applyAlignment="0" applyProtection="0"/>
    <xf numFmtId="44" fontId="27" fillId="0" borderId="0" applyFont="0" applyFill="0" applyBorder="0" applyAlignment="0" applyProtection="0"/>
    <xf numFmtId="0" fontId="19" fillId="0" borderId="0"/>
    <xf numFmtId="0" fontId="27" fillId="0" borderId="0"/>
    <xf numFmtId="9" fontId="27" fillId="0" borderId="0" applyFont="0" applyFill="0" applyBorder="0" applyAlignment="0" applyProtection="0"/>
    <xf numFmtId="9"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9"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8" fillId="0" borderId="0"/>
    <xf numFmtId="9"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0" fontId="17" fillId="0" borderId="0"/>
    <xf numFmtId="44" fontId="43" fillId="0" borderId="0" applyFont="0" applyFill="0" applyBorder="0" applyAlignment="0" applyProtection="0"/>
    <xf numFmtId="0" fontId="43" fillId="0" borderId="0"/>
    <xf numFmtId="9"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0" fontId="43" fillId="0" borderId="0"/>
    <xf numFmtId="9" fontId="43"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6"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9" borderId="0" applyNumberFormat="0" applyBorder="0" applyAlignment="0" applyProtection="0"/>
    <xf numFmtId="0" fontId="44" fillId="7" borderId="0" applyNumberFormat="0" applyBorder="0" applyAlignment="0" applyProtection="0"/>
    <xf numFmtId="0" fontId="45" fillId="9"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1"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14"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7" fillId="19" borderId="14" applyNumberFormat="0" applyAlignment="0" applyProtection="0"/>
    <xf numFmtId="0" fontId="48" fillId="20" borderId="15" applyNumberFormat="0" applyAlignment="0" applyProtection="0"/>
    <xf numFmtId="0" fontId="49" fillId="0" borderId="0" applyNumberFormat="0" applyFill="0" applyBorder="0" applyAlignment="0" applyProtection="0"/>
    <xf numFmtId="0" fontId="50" fillId="9" borderId="0" applyNumberFormat="0" applyBorder="0" applyAlignment="0" applyProtection="0"/>
    <xf numFmtId="0" fontId="51" fillId="0" borderId="16" applyNumberFormat="0" applyFill="0" applyAlignment="0" applyProtection="0"/>
    <xf numFmtId="0" fontId="52" fillId="0" borderId="17" applyNumberFormat="0" applyFill="0" applyAlignment="0" applyProtection="0"/>
    <xf numFmtId="0" fontId="53" fillId="0" borderId="18" applyNumberFormat="0" applyFill="0" applyAlignment="0" applyProtection="0"/>
    <xf numFmtId="0" fontId="53" fillId="0" borderId="0" applyNumberFormat="0" applyFill="0" applyBorder="0" applyAlignment="0" applyProtection="0"/>
    <xf numFmtId="0" fontId="54" fillId="10" borderId="14" applyNumberFormat="0" applyAlignment="0" applyProtection="0"/>
    <xf numFmtId="0" fontId="55" fillId="0" borderId="19" applyNumberFormat="0" applyFill="0" applyAlignment="0" applyProtection="0"/>
    <xf numFmtId="0" fontId="56" fillId="10" borderId="0" applyNumberFormat="0" applyBorder="0" applyAlignment="0" applyProtection="0"/>
    <xf numFmtId="0" fontId="18" fillId="7" borderId="20" applyNumberFormat="0" applyFont="0" applyAlignment="0" applyProtection="0"/>
    <xf numFmtId="0" fontId="57" fillId="19" borderId="21" applyNumberFormat="0" applyAlignment="0" applyProtection="0"/>
    <xf numFmtId="0" fontId="58" fillId="0" borderId="0" applyNumberFormat="0" applyFill="0" applyBorder="0" applyAlignment="0" applyProtection="0"/>
    <xf numFmtId="0" fontId="59" fillId="0" borderId="22" applyNumberFormat="0" applyFill="0" applyAlignment="0" applyProtection="0"/>
    <xf numFmtId="0" fontId="55" fillId="0" borderId="0" applyNumberFormat="0" applyFill="0" applyBorder="0" applyAlignment="0" applyProtection="0"/>
    <xf numFmtId="172" fontId="18" fillId="0" borderId="0" applyFill="0" applyBorder="0" applyAlignment="0" applyProtection="0"/>
    <xf numFmtId="0" fontId="15" fillId="0" borderId="0"/>
    <xf numFmtId="0" fontId="15" fillId="0" borderId="0"/>
    <xf numFmtId="44" fontId="15"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60" fillId="0" borderId="0"/>
    <xf numFmtId="0" fontId="60" fillId="0" borderId="0"/>
    <xf numFmtId="0" fontId="60" fillId="0" borderId="0"/>
    <xf numFmtId="166" fontId="14" fillId="0" borderId="0" applyFont="0" applyFill="0" applyBorder="0" applyAlignment="0" applyProtection="0"/>
    <xf numFmtId="0" fontId="60" fillId="0" borderId="0"/>
    <xf numFmtId="0" fontId="60"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4" fillId="0" borderId="0"/>
    <xf numFmtId="44" fontId="18" fillId="0" borderId="0" applyFont="0" applyFill="0" applyBorder="0" applyAlignment="0" applyProtection="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9" fontId="18"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4" fillId="0" borderId="0"/>
    <xf numFmtId="44" fontId="18" fillId="0" borderId="0" applyFont="0" applyFill="0" applyBorder="0" applyAlignment="0" applyProtection="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9" fontId="18"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4" fillId="0" borderId="0"/>
    <xf numFmtId="44" fontId="18" fillId="0" borderId="0" applyFont="0" applyFill="0" applyBorder="0" applyAlignment="0" applyProtection="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9" fontId="18"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4" fillId="0" borderId="0"/>
    <xf numFmtId="44" fontId="18" fillId="0" borderId="0" applyFont="0" applyFill="0" applyBorder="0" applyAlignment="0" applyProtection="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9" fontId="18"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4" fillId="0" borderId="0"/>
    <xf numFmtId="44" fontId="18" fillId="0" borderId="0" applyFont="0" applyFill="0" applyBorder="0" applyAlignment="0" applyProtection="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9" fontId="18"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44" fontId="14" fillId="0" borderId="0" applyFont="0" applyFill="0" applyBorder="0" applyAlignment="0" applyProtection="0"/>
    <xf numFmtId="0" fontId="18" fillId="0" borderId="0"/>
    <xf numFmtId="0" fontId="18" fillId="0" borderId="0"/>
    <xf numFmtId="0" fontId="18" fillId="0" borderId="0"/>
    <xf numFmtId="0" fontId="18" fillId="0" borderId="0"/>
    <xf numFmtId="0" fontId="13"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8" fontId="26" fillId="0" borderId="0" applyFont="0" applyFill="0" applyBorder="0" applyAlignment="0" applyProtection="0"/>
    <xf numFmtId="0" fontId="61" fillId="0" borderId="0"/>
    <xf numFmtId="0" fontId="62" fillId="0" borderId="0"/>
    <xf numFmtId="44" fontId="62" fillId="0" borderId="0" applyFont="0" applyFill="0" applyBorder="0" applyAlignment="0" applyProtection="0"/>
    <xf numFmtId="9" fontId="62" fillId="0" borderId="0" applyFont="0" applyFill="0" applyBorder="0" applyAlignment="0" applyProtection="0"/>
    <xf numFmtId="0" fontId="9" fillId="0" borderId="0"/>
    <xf numFmtId="0" fontId="18" fillId="0" borderId="0"/>
    <xf numFmtId="0" fontId="10" fillId="0" borderId="0"/>
    <xf numFmtId="166" fontId="18" fillId="0" borderId="0" applyFont="0" applyFill="0" applyBorder="0" applyAlignment="0" applyProtection="0"/>
    <xf numFmtId="0" fontId="76"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0" fontId="47" fillId="19" borderId="41" applyNumberFormat="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54" fillId="10" borderId="41" applyNumberFormat="0" applyAlignment="0" applyProtection="0"/>
    <xf numFmtId="0" fontId="18" fillId="7" borderId="42" applyNumberFormat="0" applyFont="0" applyAlignment="0" applyProtection="0"/>
    <xf numFmtId="0" fontId="57" fillId="19" borderId="43" applyNumberFormat="0" applyAlignment="0" applyProtection="0"/>
    <xf numFmtId="0" fontId="59" fillId="0" borderId="44" applyNumberFormat="0" applyFill="0" applyAlignment="0" applyProtection="0"/>
    <xf numFmtId="0" fontId="9" fillId="0" borderId="0"/>
    <xf numFmtId="0" fontId="9" fillId="0" borderId="0"/>
    <xf numFmtId="166" fontId="9"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0" fontId="9" fillId="0" borderId="0"/>
    <xf numFmtId="166"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18" fillId="0" borderId="0"/>
    <xf numFmtId="0" fontId="18" fillId="0" borderId="0"/>
    <xf numFmtId="0" fontId="18" fillId="0" borderId="0"/>
    <xf numFmtId="166" fontId="9" fillId="0" borderId="0" applyFont="0" applyFill="0" applyBorder="0" applyAlignment="0" applyProtection="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0" fontId="76" fillId="0" borderId="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0" fontId="10" fillId="0" borderId="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9" fontId="9" fillId="0" borderId="0" applyFont="0" applyFill="0" applyBorder="0" applyAlignment="0" applyProtection="0"/>
    <xf numFmtId="165" fontId="26" fillId="0" borderId="0" applyFont="0" applyFill="0" applyBorder="0" applyAlignment="0" applyProtection="0"/>
    <xf numFmtId="0" fontId="10" fillId="0" borderId="0"/>
    <xf numFmtId="166" fontId="10" fillId="0" borderId="0" applyFont="0" applyFill="0" applyBorder="0" applyAlignment="0" applyProtection="0"/>
    <xf numFmtId="9" fontId="10" fillId="0" borderId="0" applyFont="0" applyFill="0" applyBorder="0" applyAlignment="0" applyProtection="0"/>
    <xf numFmtId="0" fontId="47" fillId="19" borderId="45" applyNumberFormat="0" applyAlignment="0" applyProtection="0"/>
    <xf numFmtId="0" fontId="53" fillId="0" borderId="18" applyNumberFormat="0" applyFill="0" applyAlignment="0" applyProtection="0"/>
    <xf numFmtId="0" fontId="54" fillId="10" borderId="45" applyNumberFormat="0" applyAlignment="0" applyProtection="0"/>
    <xf numFmtId="0" fontId="18" fillId="7" borderId="42" applyNumberFormat="0" applyFont="0" applyAlignment="0" applyProtection="0"/>
    <xf numFmtId="0" fontId="57" fillId="19" borderId="43" applyNumberFormat="0" applyAlignment="0" applyProtection="0"/>
    <xf numFmtId="0" fontId="59" fillId="0" borderId="44" applyNumberFormat="0" applyFill="0" applyAlignment="0" applyProtection="0"/>
    <xf numFmtId="0" fontId="18" fillId="7" borderId="47" applyNumberFormat="0" applyFont="0" applyAlignment="0" applyProtection="0"/>
    <xf numFmtId="0" fontId="47" fillId="19" borderId="50" applyNumberFormat="0" applyAlignment="0" applyProtection="0"/>
    <xf numFmtId="0" fontId="53" fillId="0" borderId="18" applyNumberFormat="0" applyFill="0" applyAlignment="0" applyProtection="0"/>
    <xf numFmtId="0" fontId="57" fillId="19" borderId="48" applyNumberFormat="0" applyAlignment="0" applyProtection="0"/>
    <xf numFmtId="0" fontId="54" fillId="10" borderId="50" applyNumberFormat="0" applyAlignment="0" applyProtection="0"/>
    <xf numFmtId="0" fontId="47" fillId="19" borderId="46" applyNumberFormat="0" applyAlignment="0" applyProtection="0"/>
    <xf numFmtId="0" fontId="47" fillId="19" borderId="46" applyNumberFormat="0" applyAlignment="0" applyProtection="0"/>
    <xf numFmtId="0" fontId="54" fillId="10" borderId="50" applyNumberFormat="0" applyAlignment="0" applyProtection="0"/>
    <xf numFmtId="0" fontId="53" fillId="0" borderId="18" applyNumberFormat="0" applyFill="0" applyAlignment="0" applyProtection="0"/>
    <xf numFmtId="0" fontId="53" fillId="0" borderId="18" applyNumberFormat="0" applyFill="0" applyAlignment="0" applyProtection="0"/>
    <xf numFmtId="0" fontId="54" fillId="10" borderId="46" applyNumberFormat="0" applyAlignment="0" applyProtection="0"/>
    <xf numFmtId="0" fontId="47" fillId="19" borderId="46" applyNumberFormat="0" applyAlignment="0" applyProtection="0"/>
    <xf numFmtId="0" fontId="18" fillId="7" borderId="47" applyNumberFormat="0" applyFont="0" applyAlignment="0" applyProtection="0"/>
    <xf numFmtId="0" fontId="57" fillId="19" borderId="48" applyNumberFormat="0" applyAlignment="0" applyProtection="0"/>
    <xf numFmtId="0" fontId="59" fillId="0" borderId="49" applyNumberFormat="0" applyFill="0" applyAlignment="0" applyProtection="0"/>
    <xf numFmtId="0" fontId="57" fillId="19" borderId="52" applyNumberFormat="0" applyAlignment="0" applyProtection="0"/>
    <xf numFmtId="0" fontId="57" fillId="19" borderId="52" applyNumberFormat="0" applyAlignment="0" applyProtection="0"/>
    <xf numFmtId="0" fontId="54" fillId="10" borderId="46" applyNumberFormat="0" applyAlignment="0" applyProtection="0"/>
    <xf numFmtId="0" fontId="18" fillId="7" borderId="51" applyNumberFormat="0" applyFont="0" applyAlignment="0" applyProtection="0"/>
    <xf numFmtId="0" fontId="57" fillId="19" borderId="52" applyNumberFormat="0" applyAlignment="0" applyProtection="0"/>
    <xf numFmtId="0" fontId="59" fillId="0" borderId="53" applyNumberFormat="0" applyFill="0" applyAlignment="0" applyProtection="0"/>
    <xf numFmtId="0" fontId="59" fillId="0" borderId="53" applyNumberFormat="0" applyFill="0" applyAlignment="0" applyProtection="0"/>
    <xf numFmtId="0" fontId="18" fillId="7" borderId="51" applyNumberFormat="0" applyFont="0" applyAlignment="0" applyProtection="0"/>
    <xf numFmtId="0" fontId="59" fillId="0" borderId="49" applyNumberFormat="0" applyFill="0" applyAlignment="0" applyProtection="0"/>
    <xf numFmtId="0" fontId="18" fillId="7" borderId="51" applyNumberFormat="0" applyFont="0" applyAlignment="0" applyProtection="0"/>
    <xf numFmtId="0" fontId="54" fillId="10" borderId="50" applyNumberFormat="0" applyAlignment="0" applyProtection="0"/>
    <xf numFmtId="0" fontId="57" fillId="19" borderId="48" applyNumberFormat="0" applyAlignment="0" applyProtection="0"/>
    <xf numFmtId="0" fontId="59" fillId="0" borderId="49" applyNumberFormat="0" applyFill="0" applyAlignment="0" applyProtection="0"/>
    <xf numFmtId="0" fontId="57" fillId="19" borderId="48" applyNumberFormat="0" applyAlignment="0" applyProtection="0"/>
    <xf numFmtId="0" fontId="54" fillId="10" borderId="46" applyNumberFormat="0" applyAlignment="0" applyProtection="0"/>
    <xf numFmtId="0" fontId="18" fillId="7" borderId="47" applyNumberFormat="0" applyFont="0" applyAlignment="0" applyProtection="0"/>
    <xf numFmtId="0" fontId="18" fillId="7" borderId="47" applyNumberFormat="0" applyFont="0" applyAlignment="0" applyProtection="0"/>
    <xf numFmtId="0" fontId="59" fillId="0" borderId="49" applyNumberFormat="0" applyFill="0" applyAlignment="0" applyProtection="0"/>
    <xf numFmtId="0" fontId="59" fillId="0" borderId="53" applyNumberFormat="0" applyFill="0" applyAlignment="0" applyProtection="0"/>
    <xf numFmtId="0" fontId="47" fillId="19" borderId="50" applyNumberFormat="0" applyAlignment="0" applyProtection="0"/>
    <xf numFmtId="0" fontId="54" fillId="10" borderId="46" applyNumberFormat="0" applyAlignment="0" applyProtection="0"/>
    <xf numFmtId="0" fontId="47" fillId="19" borderId="50" applyNumberFormat="0" applyAlignment="0" applyProtection="0"/>
    <xf numFmtId="0" fontId="47" fillId="19" borderId="46" applyNumberFormat="0" applyAlignment="0" applyProtection="0"/>
    <xf numFmtId="0" fontId="9" fillId="0" borderId="0"/>
    <xf numFmtId="0" fontId="9" fillId="0" borderId="0"/>
    <xf numFmtId="166" fontId="9"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0" fontId="9" fillId="0" borderId="0"/>
    <xf numFmtId="166"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18" fillId="0" borderId="0"/>
    <xf numFmtId="0" fontId="18" fillId="0" borderId="0"/>
    <xf numFmtId="0" fontId="18" fillId="0" borderId="0"/>
    <xf numFmtId="166" fontId="9" fillId="0" borderId="0" applyFont="0" applyFill="0" applyBorder="0" applyAlignment="0" applyProtection="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9" fontId="9" fillId="0" borderId="0" applyFont="0" applyFill="0" applyBorder="0" applyAlignment="0" applyProtection="0"/>
    <xf numFmtId="165" fontId="26" fillId="0" borderId="0" applyFont="0" applyFill="0" applyBorder="0" applyAlignment="0" applyProtection="0"/>
    <xf numFmtId="0" fontId="10" fillId="0" borderId="0"/>
    <xf numFmtId="166" fontId="10" fillId="0" borderId="0" applyFont="0" applyFill="0" applyBorder="0" applyAlignment="0" applyProtection="0"/>
    <xf numFmtId="9" fontId="10" fillId="0" borderId="0" applyFont="0" applyFill="0" applyBorder="0" applyAlignment="0" applyProtection="0"/>
    <xf numFmtId="0" fontId="47" fillId="19" borderId="54" applyNumberFormat="0" applyAlignment="0" applyProtection="0"/>
    <xf numFmtId="0" fontId="54" fillId="10" borderId="54" applyNumberFormat="0" applyAlignment="0" applyProtection="0"/>
    <xf numFmtId="0" fontId="18" fillId="7" borderId="55" applyNumberFormat="0" applyFont="0" applyAlignment="0" applyProtection="0"/>
    <xf numFmtId="0" fontId="57" fillId="19" borderId="56" applyNumberFormat="0" applyAlignment="0" applyProtection="0"/>
    <xf numFmtId="0" fontId="59" fillId="0" borderId="57" applyNumberFormat="0" applyFill="0" applyAlignment="0" applyProtection="0"/>
    <xf numFmtId="0" fontId="18" fillId="7" borderId="59" applyNumberFormat="0" applyFont="0" applyAlignment="0" applyProtection="0"/>
    <xf numFmtId="0" fontId="47" fillId="19" borderId="62" applyNumberFormat="0" applyAlignment="0" applyProtection="0"/>
    <xf numFmtId="0" fontId="57" fillId="19" borderId="60" applyNumberFormat="0" applyAlignment="0" applyProtection="0"/>
    <xf numFmtId="0" fontId="54" fillId="10" borderId="62" applyNumberFormat="0" applyAlignment="0" applyProtection="0"/>
    <xf numFmtId="0" fontId="47" fillId="19" borderId="58" applyNumberFormat="0" applyAlignment="0" applyProtection="0"/>
    <xf numFmtId="0" fontId="47" fillId="19" borderId="58" applyNumberFormat="0" applyAlignment="0" applyProtection="0"/>
    <xf numFmtId="0" fontId="54" fillId="10" borderId="62" applyNumberFormat="0" applyAlignment="0" applyProtection="0"/>
    <xf numFmtId="0" fontId="54" fillId="10" borderId="58" applyNumberFormat="0" applyAlignment="0" applyProtection="0"/>
    <xf numFmtId="0" fontId="47" fillId="19" borderId="58" applyNumberFormat="0" applyAlignment="0" applyProtection="0"/>
    <xf numFmtId="0" fontId="18" fillId="7" borderId="59" applyNumberFormat="0" applyFont="0" applyAlignment="0" applyProtection="0"/>
    <xf numFmtId="0" fontId="57" fillId="19" borderId="60" applyNumberFormat="0" applyAlignment="0" applyProtection="0"/>
    <xf numFmtId="0" fontId="59" fillId="0" borderId="61" applyNumberFormat="0" applyFill="0" applyAlignment="0" applyProtection="0"/>
    <xf numFmtId="0" fontId="57" fillId="19" borderId="64" applyNumberFormat="0" applyAlignment="0" applyProtection="0"/>
    <xf numFmtId="0" fontId="57" fillId="19" borderId="64" applyNumberFormat="0" applyAlignment="0" applyProtection="0"/>
    <xf numFmtId="0" fontId="54" fillId="10" borderId="58" applyNumberFormat="0" applyAlignment="0" applyProtection="0"/>
    <xf numFmtId="0" fontId="18" fillId="7" borderId="63" applyNumberFormat="0" applyFont="0" applyAlignment="0" applyProtection="0"/>
    <xf numFmtId="0" fontId="57" fillId="19" borderId="64" applyNumberFormat="0" applyAlignment="0" applyProtection="0"/>
    <xf numFmtId="0" fontId="59" fillId="0" borderId="65" applyNumberFormat="0" applyFill="0" applyAlignment="0" applyProtection="0"/>
    <xf numFmtId="0" fontId="59" fillId="0" borderId="65" applyNumberFormat="0" applyFill="0" applyAlignment="0" applyProtection="0"/>
    <xf numFmtId="0" fontId="18" fillId="7" borderId="63" applyNumberFormat="0" applyFont="0" applyAlignment="0" applyProtection="0"/>
    <xf numFmtId="0" fontId="59" fillId="0" borderId="61" applyNumberFormat="0" applyFill="0" applyAlignment="0" applyProtection="0"/>
    <xf numFmtId="0" fontId="18" fillId="7" borderId="63" applyNumberFormat="0" applyFont="0" applyAlignment="0" applyProtection="0"/>
    <xf numFmtId="0" fontId="54" fillId="10" borderId="62" applyNumberFormat="0" applyAlignment="0" applyProtection="0"/>
    <xf numFmtId="0" fontId="57" fillId="19" borderId="60" applyNumberFormat="0" applyAlignment="0" applyProtection="0"/>
    <xf numFmtId="0" fontId="59" fillId="0" borderId="61" applyNumberFormat="0" applyFill="0" applyAlignment="0" applyProtection="0"/>
    <xf numFmtId="0" fontId="57" fillId="19" borderId="60" applyNumberFormat="0" applyAlignment="0" applyProtection="0"/>
    <xf numFmtId="0" fontId="54" fillId="10" borderId="58" applyNumberFormat="0" applyAlignment="0" applyProtection="0"/>
    <xf numFmtId="0" fontId="18" fillId="7" borderId="59" applyNumberFormat="0" applyFont="0" applyAlignment="0" applyProtection="0"/>
    <xf numFmtId="0" fontId="18" fillId="7" borderId="59" applyNumberFormat="0" applyFont="0" applyAlignment="0" applyProtection="0"/>
    <xf numFmtId="0" fontId="59" fillId="0" borderId="61" applyNumberFormat="0" applyFill="0" applyAlignment="0" applyProtection="0"/>
    <xf numFmtId="0" fontId="59" fillId="0" borderId="65" applyNumberFormat="0" applyFill="0" applyAlignment="0" applyProtection="0"/>
    <xf numFmtId="0" fontId="47" fillId="19" borderId="62" applyNumberFormat="0" applyAlignment="0" applyProtection="0"/>
    <xf numFmtId="0" fontId="54" fillId="10" borderId="58" applyNumberFormat="0" applyAlignment="0" applyProtection="0"/>
    <xf numFmtId="0" fontId="47" fillId="19" borderId="62" applyNumberFormat="0" applyAlignment="0" applyProtection="0"/>
    <xf numFmtId="0" fontId="47" fillId="19" borderId="58" applyNumberFormat="0" applyAlignment="0" applyProtection="0"/>
    <xf numFmtId="166" fontId="18" fillId="0" borderId="0" applyFont="0" applyFill="0" applyBorder="0" applyAlignment="0" applyProtection="0"/>
    <xf numFmtId="0" fontId="18" fillId="0" borderId="0"/>
    <xf numFmtId="0" fontId="10" fillId="0" borderId="0"/>
    <xf numFmtId="166" fontId="18" fillId="0" borderId="0" applyFont="0" applyFill="0" applyBorder="0" applyAlignment="0" applyProtection="0"/>
    <xf numFmtId="0" fontId="76" fillId="0" borderId="0"/>
    <xf numFmtId="0" fontId="18"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10" fillId="0" borderId="0"/>
    <xf numFmtId="166"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167" fontId="18" fillId="0" borderId="0" applyFont="0" applyFill="0" applyBorder="0" applyAlignment="0" applyProtection="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47" fillId="19" borderId="99" applyNumberFormat="0" applyAlignment="0" applyProtection="0"/>
    <xf numFmtId="166" fontId="9" fillId="0" borderId="0" applyFont="0" applyFill="0" applyBorder="0" applyAlignment="0" applyProtection="0"/>
    <xf numFmtId="0" fontId="47" fillId="19" borderId="66" applyNumberFormat="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0" fontId="54" fillId="10" borderId="66" applyNumberFormat="0" applyAlignment="0" applyProtection="0"/>
    <xf numFmtId="166" fontId="18" fillId="0" borderId="0" applyFont="0" applyFill="0" applyBorder="0" applyAlignment="0" applyProtection="0"/>
    <xf numFmtId="167" fontId="18" fillId="0" borderId="0" applyFont="0" applyFill="0" applyBorder="0" applyAlignment="0" applyProtection="0"/>
    <xf numFmtId="0" fontId="18" fillId="7" borderId="67" applyNumberFormat="0" applyFont="0" applyAlignment="0" applyProtection="0"/>
    <xf numFmtId="0" fontId="57" fillId="19" borderId="68" applyNumberFormat="0" applyAlignment="0" applyProtection="0"/>
    <xf numFmtId="0" fontId="59" fillId="0" borderId="69" applyNumberFormat="0" applyFill="0" applyAlignment="0" applyProtection="0"/>
    <xf numFmtId="167"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0" fontId="9" fillId="0" borderId="0"/>
    <xf numFmtId="166"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18" fillId="0" borderId="0"/>
    <xf numFmtId="0" fontId="18" fillId="0" borderId="0"/>
    <xf numFmtId="0" fontId="18" fillId="0" borderId="0"/>
    <xf numFmtId="166" fontId="9" fillId="0" borderId="0" applyFont="0" applyFill="0" applyBorder="0" applyAlignment="0" applyProtection="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0" fontId="18" fillId="0" borderId="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76" fillId="0" borderId="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18" fillId="0" borderId="0"/>
    <xf numFmtId="0" fontId="10" fillId="0" borderId="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9" fontId="9" fillId="0" borderId="0" applyFont="0" applyFill="0" applyBorder="0" applyAlignment="0" applyProtection="0"/>
    <xf numFmtId="165" fontId="26" fillId="0" borderId="0" applyFont="0" applyFill="0" applyBorder="0" applyAlignment="0" applyProtection="0"/>
    <xf numFmtId="166" fontId="18" fillId="0" borderId="0" applyFont="0" applyFill="0" applyBorder="0" applyAlignment="0" applyProtection="0"/>
    <xf numFmtId="0" fontId="10" fillId="0" borderId="0"/>
    <xf numFmtId="166" fontId="10" fillId="0" borderId="0" applyFont="0" applyFill="0" applyBorder="0" applyAlignment="0" applyProtection="0"/>
    <xf numFmtId="9" fontId="10" fillId="0" borderId="0" applyFont="0" applyFill="0" applyBorder="0" applyAlignment="0" applyProtection="0"/>
    <xf numFmtId="0" fontId="47" fillId="19" borderId="66" applyNumberFormat="0" applyAlignment="0" applyProtection="0"/>
    <xf numFmtId="167" fontId="18" fillId="0" borderId="0" applyFont="0" applyFill="0" applyBorder="0" applyAlignment="0" applyProtection="0"/>
    <xf numFmtId="0" fontId="54" fillId="10" borderId="66" applyNumberFormat="0" applyAlignment="0" applyProtection="0"/>
    <xf numFmtId="0" fontId="18" fillId="7" borderId="67" applyNumberFormat="0" applyFont="0" applyAlignment="0" applyProtection="0"/>
    <xf numFmtId="0" fontId="57" fillId="19" borderId="68" applyNumberFormat="0" applyAlignment="0" applyProtection="0"/>
    <xf numFmtId="0" fontId="59" fillId="0" borderId="69" applyNumberFormat="0" applyFill="0" applyAlignment="0" applyProtection="0"/>
    <xf numFmtId="0" fontId="18" fillId="7" borderId="71" applyNumberFormat="0" applyFont="0" applyAlignment="0" applyProtection="0"/>
    <xf numFmtId="0" fontId="47" fillId="19" borderId="74" applyNumberFormat="0" applyAlignment="0" applyProtection="0"/>
    <xf numFmtId="0" fontId="53" fillId="0" borderId="78" applyNumberFormat="0" applyFill="0" applyAlignment="0" applyProtection="0"/>
    <xf numFmtId="0" fontId="57" fillId="19" borderId="72" applyNumberFormat="0" applyAlignment="0" applyProtection="0"/>
    <xf numFmtId="0" fontId="54" fillId="10" borderId="74" applyNumberFormat="0" applyAlignment="0" applyProtection="0"/>
    <xf numFmtId="0" fontId="47" fillId="19" borderId="70" applyNumberFormat="0" applyAlignment="0" applyProtection="0"/>
    <xf numFmtId="0" fontId="47" fillId="19" borderId="70" applyNumberFormat="0" applyAlignment="0" applyProtection="0"/>
    <xf numFmtId="0" fontId="54" fillId="10" borderId="74" applyNumberFormat="0" applyAlignment="0" applyProtection="0"/>
    <xf numFmtId="167" fontId="18" fillId="0" borderId="0" applyFont="0" applyFill="0" applyBorder="0" applyAlignment="0" applyProtection="0"/>
    <xf numFmtId="0" fontId="54" fillId="10" borderId="70" applyNumberFormat="0" applyAlignment="0" applyProtection="0"/>
    <xf numFmtId="0" fontId="47" fillId="19" borderId="70" applyNumberFormat="0" applyAlignment="0" applyProtection="0"/>
    <xf numFmtId="0" fontId="18" fillId="7" borderId="71" applyNumberFormat="0" applyFont="0" applyAlignment="0" applyProtection="0"/>
    <xf numFmtId="0" fontId="57" fillId="19" borderId="72" applyNumberFormat="0" applyAlignment="0" applyProtection="0"/>
    <xf numFmtId="0" fontId="59" fillId="0" borderId="73" applyNumberFormat="0" applyFill="0" applyAlignment="0" applyProtection="0"/>
    <xf numFmtId="0" fontId="57" fillId="19" borderId="76" applyNumberFormat="0" applyAlignment="0" applyProtection="0"/>
    <xf numFmtId="0" fontId="57" fillId="19" borderId="76" applyNumberFormat="0" applyAlignment="0" applyProtection="0"/>
    <xf numFmtId="0" fontId="54" fillId="10" borderId="70" applyNumberFormat="0" applyAlignment="0" applyProtection="0"/>
    <xf numFmtId="0" fontId="18" fillId="7" borderId="75" applyNumberFormat="0" applyFont="0" applyAlignment="0" applyProtection="0"/>
    <xf numFmtId="0" fontId="57" fillId="19" borderId="76" applyNumberFormat="0" applyAlignment="0" applyProtection="0"/>
    <xf numFmtId="0" fontId="59" fillId="0" borderId="77" applyNumberFormat="0" applyFill="0" applyAlignment="0" applyProtection="0"/>
    <xf numFmtId="0" fontId="59" fillId="0" borderId="77" applyNumberFormat="0" applyFill="0" applyAlignment="0" applyProtection="0"/>
    <xf numFmtId="0" fontId="18" fillId="7" borderId="75" applyNumberFormat="0" applyFont="0" applyAlignment="0" applyProtection="0"/>
    <xf numFmtId="0" fontId="59" fillId="0" borderId="73" applyNumberFormat="0" applyFill="0" applyAlignment="0" applyProtection="0"/>
    <xf numFmtId="0" fontId="18" fillId="7" borderId="75" applyNumberFormat="0" applyFont="0" applyAlignment="0" applyProtection="0"/>
    <xf numFmtId="0" fontId="54" fillId="10" borderId="74" applyNumberFormat="0" applyAlignment="0" applyProtection="0"/>
    <xf numFmtId="0" fontId="57" fillId="19" borderId="72" applyNumberFormat="0" applyAlignment="0" applyProtection="0"/>
    <xf numFmtId="0" fontId="59" fillId="0" borderId="73" applyNumberFormat="0" applyFill="0" applyAlignment="0" applyProtection="0"/>
    <xf numFmtId="0" fontId="57" fillId="19" borderId="72" applyNumberFormat="0" applyAlignment="0" applyProtection="0"/>
    <xf numFmtId="0" fontId="54" fillId="10" borderId="70" applyNumberFormat="0" applyAlignment="0" applyProtection="0"/>
    <xf numFmtId="0" fontId="18" fillId="7" borderId="71" applyNumberFormat="0" applyFont="0" applyAlignment="0" applyProtection="0"/>
    <xf numFmtId="0" fontId="18" fillId="7" borderId="71" applyNumberFormat="0" applyFont="0" applyAlignment="0" applyProtection="0"/>
    <xf numFmtId="0" fontId="59" fillId="0" borderId="73" applyNumberFormat="0" applyFill="0" applyAlignment="0" applyProtection="0"/>
    <xf numFmtId="0" fontId="59" fillId="0" borderId="77" applyNumberFormat="0" applyFill="0" applyAlignment="0" applyProtection="0"/>
    <xf numFmtId="0" fontId="47" fillId="19" borderId="74" applyNumberFormat="0" applyAlignment="0" applyProtection="0"/>
    <xf numFmtId="0" fontId="54" fillId="10" borderId="70" applyNumberFormat="0" applyAlignment="0" applyProtection="0"/>
    <xf numFmtId="0" fontId="47" fillId="19" borderId="74" applyNumberFormat="0" applyAlignment="0" applyProtection="0"/>
    <xf numFmtId="0" fontId="47" fillId="19" borderId="70" applyNumberFormat="0" applyAlignment="0" applyProtection="0"/>
    <xf numFmtId="166" fontId="18" fillId="0" borderId="0" applyFont="0" applyFill="0" applyBorder="0" applyAlignment="0" applyProtection="0"/>
    <xf numFmtId="0" fontId="47" fillId="19" borderId="74" applyNumberFormat="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0" fontId="53" fillId="0" borderId="78" applyNumberFormat="0" applyFill="0" applyAlignment="0" applyProtection="0"/>
    <xf numFmtId="167" fontId="18" fillId="0" borderId="0" applyFont="0" applyFill="0" applyBorder="0" applyAlignment="0" applyProtection="0"/>
    <xf numFmtId="0" fontId="54" fillId="10" borderId="74" applyNumberFormat="0" applyAlignment="0" applyProtection="0"/>
    <xf numFmtId="167" fontId="18" fillId="0" borderId="0" applyFont="0" applyFill="0" applyBorder="0" applyAlignment="0" applyProtection="0"/>
    <xf numFmtId="166" fontId="18" fillId="0" borderId="0" applyFont="0" applyFill="0" applyBorder="0" applyAlignment="0" applyProtection="0"/>
    <xf numFmtId="0" fontId="18" fillId="7" borderId="75" applyNumberFormat="0" applyFont="0" applyAlignment="0" applyProtection="0"/>
    <xf numFmtId="0" fontId="57" fillId="19" borderId="76" applyNumberFormat="0" applyAlignment="0" applyProtection="0"/>
    <xf numFmtId="0" fontId="59" fillId="0" borderId="77" applyNumberFormat="0" applyFill="0" applyAlignment="0" applyProtection="0"/>
    <xf numFmtId="167" fontId="18"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0" fontId="9" fillId="0" borderId="0"/>
    <xf numFmtId="166"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18" fillId="0" borderId="0"/>
    <xf numFmtId="0" fontId="18" fillId="0" borderId="0"/>
    <xf numFmtId="0" fontId="18" fillId="0" borderId="0"/>
    <xf numFmtId="166" fontId="9" fillId="0" borderId="0" applyFont="0" applyFill="0" applyBorder="0" applyAlignment="0" applyProtection="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76" fillId="0" borderId="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18" fillId="0" borderId="0"/>
    <xf numFmtId="166" fontId="18" fillId="0" borderId="0" applyFont="0" applyFill="0" applyBorder="0" applyAlignment="0" applyProtection="0"/>
    <xf numFmtId="0" fontId="76" fillId="0" borderId="0"/>
    <xf numFmtId="0" fontId="9" fillId="0" borderId="0"/>
    <xf numFmtId="0" fontId="9" fillId="0" borderId="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9" fontId="9" fillId="0" borderId="0" applyFont="0" applyFill="0" applyBorder="0" applyAlignment="0" applyProtection="0"/>
    <xf numFmtId="165" fontId="26" fillId="0" borderId="0" applyFont="0" applyFill="0" applyBorder="0" applyAlignment="0" applyProtection="0"/>
    <xf numFmtId="166" fontId="18" fillId="0" borderId="0" applyFont="0" applyFill="0" applyBorder="0" applyAlignment="0" applyProtection="0"/>
    <xf numFmtId="0" fontId="10" fillId="0" borderId="0"/>
    <xf numFmtId="166" fontId="10" fillId="0" borderId="0" applyFont="0" applyFill="0" applyBorder="0" applyAlignment="0" applyProtection="0"/>
    <xf numFmtId="9" fontId="10" fillId="0" borderId="0" applyFont="0" applyFill="0" applyBorder="0" applyAlignment="0" applyProtection="0"/>
    <xf numFmtId="0" fontId="47" fillId="19" borderId="79" applyNumberFormat="0" applyAlignment="0" applyProtection="0"/>
    <xf numFmtId="0" fontId="53" fillId="0" borderId="78" applyNumberFormat="0" applyFill="0" applyAlignment="0" applyProtection="0"/>
    <xf numFmtId="0" fontId="54" fillId="10" borderId="79" applyNumberFormat="0" applyAlignment="0" applyProtection="0"/>
    <xf numFmtId="0" fontId="18" fillId="7" borderId="80" applyNumberFormat="0" applyFont="0" applyAlignment="0" applyProtection="0"/>
    <xf numFmtId="0" fontId="57" fillId="19" borderId="81" applyNumberFormat="0" applyAlignment="0" applyProtection="0"/>
    <xf numFmtId="0" fontId="59" fillId="0" borderId="82" applyNumberFormat="0" applyFill="0" applyAlignment="0" applyProtection="0"/>
    <xf numFmtId="0" fontId="18" fillId="7" borderId="84" applyNumberFormat="0" applyFont="0" applyAlignment="0" applyProtection="0"/>
    <xf numFmtId="0" fontId="47" fillId="19" borderId="87" applyNumberFormat="0" applyAlignment="0" applyProtection="0"/>
    <xf numFmtId="0" fontId="53" fillId="0" borderId="91" applyNumberFormat="0" applyFill="0" applyAlignment="0" applyProtection="0"/>
    <xf numFmtId="0" fontId="57" fillId="19" borderId="85" applyNumberFormat="0" applyAlignment="0" applyProtection="0"/>
    <xf numFmtId="0" fontId="54" fillId="10" borderId="87" applyNumberFormat="0" applyAlignment="0" applyProtection="0"/>
    <xf numFmtId="0" fontId="47" fillId="19" borderId="83" applyNumberFormat="0" applyAlignment="0" applyProtection="0"/>
    <xf numFmtId="0" fontId="47" fillId="19" borderId="83" applyNumberFormat="0" applyAlignment="0" applyProtection="0"/>
    <xf numFmtId="0" fontId="54" fillId="10" borderId="87" applyNumberFormat="0" applyAlignment="0" applyProtection="0"/>
    <xf numFmtId="0" fontId="53" fillId="0" borderId="78" applyNumberFormat="0" applyFill="0" applyAlignment="0" applyProtection="0"/>
    <xf numFmtId="0" fontId="53" fillId="0" borderId="78" applyNumberFormat="0" applyFill="0" applyAlignment="0" applyProtection="0"/>
    <xf numFmtId="0" fontId="54" fillId="10" borderId="83" applyNumberFormat="0" applyAlignment="0" applyProtection="0"/>
    <xf numFmtId="0" fontId="47" fillId="19" borderId="83" applyNumberFormat="0" applyAlignment="0" applyProtection="0"/>
    <xf numFmtId="0" fontId="18" fillId="7" borderId="84" applyNumberFormat="0" applyFont="0" applyAlignment="0" applyProtection="0"/>
    <xf numFmtId="0" fontId="57" fillId="19" borderId="85" applyNumberFormat="0" applyAlignment="0" applyProtection="0"/>
    <xf numFmtId="0" fontId="59" fillId="0" borderId="86" applyNumberFormat="0" applyFill="0" applyAlignment="0" applyProtection="0"/>
    <xf numFmtId="0" fontId="57" fillId="19" borderId="89" applyNumberFormat="0" applyAlignment="0" applyProtection="0"/>
    <xf numFmtId="0" fontId="57" fillId="19" borderId="89" applyNumberFormat="0" applyAlignment="0" applyProtection="0"/>
    <xf numFmtId="0" fontId="54" fillId="10" borderId="83" applyNumberFormat="0" applyAlignment="0" applyProtection="0"/>
    <xf numFmtId="0" fontId="18" fillId="7" borderId="88" applyNumberFormat="0" applyFont="0" applyAlignment="0" applyProtection="0"/>
    <xf numFmtId="0" fontId="57" fillId="19" borderId="89" applyNumberFormat="0" applyAlignment="0" applyProtection="0"/>
    <xf numFmtId="0" fontId="59" fillId="0" borderId="90" applyNumberFormat="0" applyFill="0" applyAlignment="0" applyProtection="0"/>
    <xf numFmtId="0" fontId="59" fillId="0" borderId="90" applyNumberFormat="0" applyFill="0" applyAlignment="0" applyProtection="0"/>
    <xf numFmtId="0" fontId="18" fillId="7" borderId="88" applyNumberFormat="0" applyFont="0" applyAlignment="0" applyProtection="0"/>
    <xf numFmtId="0" fontId="59" fillId="0" borderId="86" applyNumberFormat="0" applyFill="0" applyAlignment="0" applyProtection="0"/>
    <xf numFmtId="0" fontId="18" fillId="7" borderId="88" applyNumberFormat="0" applyFont="0" applyAlignment="0" applyProtection="0"/>
    <xf numFmtId="0" fontId="54" fillId="10" borderId="87" applyNumberFormat="0" applyAlignment="0" applyProtection="0"/>
    <xf numFmtId="0" fontId="57" fillId="19" borderId="85" applyNumberFormat="0" applyAlignment="0" applyProtection="0"/>
    <xf numFmtId="0" fontId="59" fillId="0" borderId="86" applyNumberFormat="0" applyFill="0" applyAlignment="0" applyProtection="0"/>
    <xf numFmtId="0" fontId="57" fillId="19" borderId="85" applyNumberFormat="0" applyAlignment="0" applyProtection="0"/>
    <xf numFmtId="0" fontId="54" fillId="10" borderId="83" applyNumberFormat="0" applyAlignment="0" applyProtection="0"/>
    <xf numFmtId="0" fontId="18" fillId="7" borderId="84" applyNumberFormat="0" applyFont="0" applyAlignment="0" applyProtection="0"/>
    <xf numFmtId="0" fontId="18" fillId="7" borderId="84" applyNumberFormat="0" applyFont="0" applyAlignment="0" applyProtection="0"/>
    <xf numFmtId="0" fontId="59" fillId="0" borderId="86" applyNumberFormat="0" applyFill="0" applyAlignment="0" applyProtection="0"/>
    <xf numFmtId="0" fontId="59" fillId="0" borderId="90" applyNumberFormat="0" applyFill="0" applyAlignment="0" applyProtection="0"/>
    <xf numFmtId="0" fontId="47" fillId="19" borderId="87" applyNumberFormat="0" applyAlignment="0" applyProtection="0"/>
    <xf numFmtId="0" fontId="54" fillId="10" borderId="83" applyNumberFormat="0" applyAlignment="0" applyProtection="0"/>
    <xf numFmtId="0" fontId="47" fillId="19" borderId="87" applyNumberFormat="0" applyAlignment="0" applyProtection="0"/>
    <xf numFmtId="0" fontId="47" fillId="19" borderId="83" applyNumberFormat="0" applyAlignment="0" applyProtection="0"/>
    <xf numFmtId="0" fontId="47" fillId="19" borderId="74" applyNumberFormat="0" applyAlignment="0" applyProtection="0"/>
    <xf numFmtId="166" fontId="9" fillId="0" borderId="0" applyFont="0" applyFill="0" applyBorder="0" applyAlignment="0" applyProtection="0"/>
    <xf numFmtId="166" fontId="9" fillId="0" borderId="0" applyFont="0" applyFill="0" applyBorder="0" applyAlignment="0" applyProtection="0"/>
    <xf numFmtId="0" fontId="53" fillId="0" borderId="91" applyNumberFormat="0" applyFill="0" applyAlignment="0" applyProtection="0"/>
    <xf numFmtId="167" fontId="9" fillId="0" borderId="0" applyFont="0" applyFill="0" applyBorder="0" applyAlignment="0" applyProtection="0"/>
    <xf numFmtId="0" fontId="54" fillId="10" borderId="74" applyNumberFormat="0" applyAlignment="0" applyProtection="0"/>
    <xf numFmtId="0" fontId="18" fillId="7" borderId="88" applyNumberFormat="0" applyFont="0" applyAlignment="0" applyProtection="0"/>
    <xf numFmtId="0" fontId="57" fillId="19" borderId="76" applyNumberFormat="0" applyAlignment="0" applyProtection="0"/>
    <xf numFmtId="0" fontId="18" fillId="0" borderId="0"/>
    <xf numFmtId="0" fontId="59" fillId="0" borderId="77" applyNumberFormat="0" applyFill="0" applyAlignment="0" applyProtection="0"/>
    <xf numFmtId="0" fontId="9" fillId="0" borderId="0"/>
    <xf numFmtId="0" fontId="9" fillId="0" borderId="0"/>
    <xf numFmtId="166" fontId="9"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0" fontId="10" fillId="0" borderId="0"/>
    <xf numFmtId="0" fontId="9" fillId="0" borderId="0"/>
    <xf numFmtId="166"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18" fillId="0" borderId="0"/>
    <xf numFmtId="0" fontId="18" fillId="0" borderId="0"/>
    <xf numFmtId="0" fontId="18" fillId="0" borderId="0"/>
    <xf numFmtId="166" fontId="9" fillId="0" borderId="0" applyFont="0" applyFill="0" applyBorder="0" applyAlignment="0" applyProtection="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9" fontId="9" fillId="0" borderId="0" applyFont="0" applyFill="0" applyBorder="0" applyAlignment="0" applyProtection="0"/>
    <xf numFmtId="165" fontId="26" fillId="0" borderId="0" applyFont="0" applyFill="0" applyBorder="0" applyAlignment="0" applyProtection="0"/>
    <xf numFmtId="166" fontId="18" fillId="0" borderId="0" applyFont="0" applyFill="0" applyBorder="0" applyAlignment="0" applyProtection="0"/>
    <xf numFmtId="0" fontId="10" fillId="0" borderId="0"/>
    <xf numFmtId="166" fontId="10" fillId="0" borderId="0" applyFont="0" applyFill="0" applyBorder="0" applyAlignment="0" applyProtection="0"/>
    <xf numFmtId="9" fontId="10" fillId="0" borderId="0" applyFont="0" applyFill="0" applyBorder="0" applyAlignment="0" applyProtection="0"/>
    <xf numFmtId="0" fontId="47" fillId="19" borderId="74" applyNumberFormat="0" applyAlignment="0" applyProtection="0"/>
    <xf numFmtId="0" fontId="53" fillId="0" borderId="91" applyNumberFormat="0" applyFill="0" applyAlignment="0" applyProtection="0"/>
    <xf numFmtId="0" fontId="54" fillId="10" borderId="74" applyNumberFormat="0" applyAlignment="0" applyProtection="0"/>
    <xf numFmtId="0" fontId="18" fillId="7" borderId="92" applyNumberFormat="0" applyFont="0" applyAlignment="0" applyProtection="0"/>
    <xf numFmtId="0" fontId="57" fillId="19" borderId="93" applyNumberFormat="0" applyAlignment="0" applyProtection="0"/>
    <xf numFmtId="0" fontId="59" fillId="0" borderId="94" applyNumberFormat="0" applyFill="0" applyAlignment="0" applyProtection="0"/>
    <xf numFmtId="0" fontId="18" fillId="7" borderId="96" applyNumberFormat="0" applyFont="0" applyAlignment="0" applyProtection="0"/>
    <xf numFmtId="0" fontId="47" fillId="19" borderId="99" applyNumberFormat="0" applyAlignment="0" applyProtection="0"/>
    <xf numFmtId="0" fontId="53" fillId="0" borderId="103" applyNumberFormat="0" applyFill="0" applyAlignment="0" applyProtection="0"/>
    <xf numFmtId="0" fontId="57" fillId="19" borderId="97" applyNumberFormat="0" applyAlignment="0" applyProtection="0"/>
    <xf numFmtId="0" fontId="54" fillId="10" borderId="99" applyNumberFormat="0" applyAlignment="0" applyProtection="0"/>
    <xf numFmtId="0" fontId="47" fillId="19" borderId="95" applyNumberFormat="0" applyAlignment="0" applyProtection="0"/>
    <xf numFmtId="0" fontId="47" fillId="19" borderId="95" applyNumberFormat="0" applyAlignment="0" applyProtection="0"/>
    <xf numFmtId="0" fontId="54" fillId="10" borderId="99" applyNumberFormat="0" applyAlignment="0" applyProtection="0"/>
    <xf numFmtId="0" fontId="53" fillId="0" borderId="91" applyNumberFormat="0" applyFill="0" applyAlignment="0" applyProtection="0"/>
    <xf numFmtId="0" fontId="53" fillId="0" borderId="91" applyNumberFormat="0" applyFill="0" applyAlignment="0" applyProtection="0"/>
    <xf numFmtId="0" fontId="54" fillId="10" borderId="95" applyNumberFormat="0" applyAlignment="0" applyProtection="0"/>
    <xf numFmtId="0" fontId="47" fillId="19" borderId="95" applyNumberFormat="0" applyAlignment="0" applyProtection="0"/>
    <xf numFmtId="0" fontId="18" fillId="7" borderId="96" applyNumberFormat="0" applyFont="0" applyAlignment="0" applyProtection="0"/>
    <xf numFmtId="0" fontId="57" fillId="19" borderId="97" applyNumberFormat="0" applyAlignment="0" applyProtection="0"/>
    <xf numFmtId="0" fontId="59" fillId="0" borderId="98" applyNumberFormat="0" applyFill="0" applyAlignment="0" applyProtection="0"/>
    <xf numFmtId="0" fontId="57" fillId="19" borderId="101" applyNumberFormat="0" applyAlignment="0" applyProtection="0"/>
    <xf numFmtId="0" fontId="57" fillId="19" borderId="101" applyNumberFormat="0" applyAlignment="0" applyProtection="0"/>
    <xf numFmtId="0" fontId="54" fillId="10" borderId="95" applyNumberFormat="0" applyAlignment="0" applyProtection="0"/>
    <xf numFmtId="0" fontId="18" fillId="7" borderId="100" applyNumberFormat="0" applyFont="0" applyAlignment="0" applyProtection="0"/>
    <xf numFmtId="0" fontId="57" fillId="19" borderId="101" applyNumberFormat="0" applyAlignment="0" applyProtection="0"/>
    <xf numFmtId="0" fontId="59" fillId="0" borderId="102" applyNumberFormat="0" applyFill="0" applyAlignment="0" applyProtection="0"/>
    <xf numFmtId="0" fontId="59" fillId="0" borderId="102" applyNumberFormat="0" applyFill="0" applyAlignment="0" applyProtection="0"/>
    <xf numFmtId="0" fontId="18" fillId="7" borderId="100" applyNumberFormat="0" applyFont="0" applyAlignment="0" applyProtection="0"/>
    <xf numFmtId="0" fontId="59" fillId="0" borderId="98" applyNumberFormat="0" applyFill="0" applyAlignment="0" applyProtection="0"/>
    <xf numFmtId="0" fontId="18" fillId="7" borderId="100" applyNumberFormat="0" applyFont="0" applyAlignment="0" applyProtection="0"/>
    <xf numFmtId="0" fontId="54" fillId="10" borderId="99" applyNumberFormat="0" applyAlignment="0" applyProtection="0"/>
    <xf numFmtId="0" fontId="57" fillId="19" borderId="97" applyNumberFormat="0" applyAlignment="0" applyProtection="0"/>
    <xf numFmtId="0" fontId="59" fillId="0" borderId="98" applyNumberFormat="0" applyFill="0" applyAlignment="0" applyProtection="0"/>
    <xf numFmtId="0" fontId="57" fillId="19" borderId="97" applyNumberFormat="0" applyAlignment="0" applyProtection="0"/>
    <xf numFmtId="0" fontId="54" fillId="10" borderId="95" applyNumberFormat="0" applyAlignment="0" applyProtection="0"/>
    <xf numFmtId="0" fontId="18" fillId="7" borderId="96" applyNumberFormat="0" applyFont="0" applyAlignment="0" applyProtection="0"/>
    <xf numFmtId="0" fontId="18" fillId="7" borderId="96" applyNumberFormat="0" applyFont="0" applyAlignment="0" applyProtection="0"/>
    <xf numFmtId="0" fontId="59" fillId="0" borderId="98" applyNumberFormat="0" applyFill="0" applyAlignment="0" applyProtection="0"/>
    <xf numFmtId="0" fontId="59" fillId="0" borderId="102" applyNumberFormat="0" applyFill="0" applyAlignment="0" applyProtection="0"/>
    <xf numFmtId="0" fontId="47" fillId="19" borderId="99" applyNumberFormat="0" applyAlignment="0" applyProtection="0"/>
    <xf numFmtId="0" fontId="54" fillId="10" borderId="95" applyNumberFormat="0" applyAlignment="0" applyProtection="0"/>
    <xf numFmtId="0" fontId="47" fillId="19" borderId="99" applyNumberFormat="0" applyAlignment="0" applyProtection="0"/>
    <xf numFmtId="0" fontId="47" fillId="19" borderId="95" applyNumberFormat="0" applyAlignment="0" applyProtection="0"/>
    <xf numFmtId="0" fontId="53" fillId="0" borderId="78" applyNumberFormat="0" applyFill="0" applyAlignment="0" applyProtection="0"/>
    <xf numFmtId="0" fontId="54" fillId="10" borderId="99" applyNumberFormat="0" applyAlignment="0" applyProtection="0"/>
    <xf numFmtId="0" fontId="18" fillId="7" borderId="100" applyNumberFormat="0" applyFont="0" applyAlignment="0" applyProtection="0"/>
    <xf numFmtId="0" fontId="57" fillId="19" borderId="101" applyNumberFormat="0" applyAlignment="0" applyProtection="0"/>
    <xf numFmtId="0" fontId="59" fillId="0" borderId="102" applyNumberFormat="0" applyFill="0" applyAlignment="0" applyProtection="0"/>
    <xf numFmtId="0" fontId="9" fillId="0" borderId="0"/>
    <xf numFmtId="0" fontId="9" fillId="0" borderId="0"/>
    <xf numFmtId="166" fontId="9"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0" fontId="9" fillId="0" borderId="0"/>
    <xf numFmtId="166"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18" fillId="0" borderId="0"/>
    <xf numFmtId="0" fontId="18" fillId="0" borderId="0"/>
    <xf numFmtId="0" fontId="18" fillId="0" borderId="0"/>
    <xf numFmtId="166" fontId="9" fillId="0" borderId="0" applyFont="0" applyFill="0" applyBorder="0" applyAlignment="0" applyProtection="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9"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9" fontId="9" fillId="0" borderId="0" applyFont="0" applyFill="0" applyBorder="0" applyAlignment="0" applyProtection="0"/>
    <xf numFmtId="165" fontId="26" fillId="0" borderId="0" applyFont="0" applyFill="0" applyBorder="0" applyAlignment="0" applyProtection="0"/>
    <xf numFmtId="0" fontId="10" fillId="0" borderId="0"/>
    <xf numFmtId="166" fontId="10" fillId="0" borderId="0" applyFont="0" applyFill="0" applyBorder="0" applyAlignment="0" applyProtection="0"/>
    <xf numFmtId="9" fontId="10" fillId="0" borderId="0" applyFont="0" applyFill="0" applyBorder="0" applyAlignment="0" applyProtection="0"/>
    <xf numFmtId="0" fontId="47" fillId="19" borderId="99" applyNumberFormat="0" applyAlignment="0" applyProtection="0"/>
    <xf numFmtId="0" fontId="53" fillId="0" borderId="78" applyNumberFormat="0" applyFill="0" applyAlignment="0" applyProtection="0"/>
    <xf numFmtId="0" fontId="54" fillId="10" borderId="99" applyNumberFormat="0" applyAlignment="0" applyProtection="0"/>
    <xf numFmtId="0" fontId="18" fillId="7" borderId="100" applyNumberFormat="0" applyFont="0" applyAlignment="0" applyProtection="0"/>
    <xf numFmtId="0" fontId="57" fillId="19" borderId="101" applyNumberFormat="0" applyAlignment="0" applyProtection="0"/>
    <xf numFmtId="0" fontId="59" fillId="0" borderId="102" applyNumberFormat="0" applyFill="0" applyAlignment="0" applyProtection="0"/>
    <xf numFmtId="0" fontId="18" fillId="7" borderId="105" applyNumberFormat="0" applyFont="0" applyAlignment="0" applyProtection="0"/>
    <xf numFmtId="0" fontId="47" fillId="19" borderId="108" applyNumberFormat="0" applyAlignment="0" applyProtection="0"/>
    <xf numFmtId="0" fontId="53" fillId="0" borderId="91" applyNumberFormat="0" applyFill="0" applyAlignment="0" applyProtection="0"/>
    <xf numFmtId="0" fontId="57" fillId="19" borderId="106" applyNumberFormat="0" applyAlignment="0" applyProtection="0"/>
    <xf numFmtId="0" fontId="54" fillId="10" borderId="108" applyNumberFormat="0" applyAlignment="0" applyProtection="0"/>
    <xf numFmtId="0" fontId="47" fillId="19" borderId="104" applyNumberFormat="0" applyAlignment="0" applyProtection="0"/>
    <xf numFmtId="0" fontId="47" fillId="19" borderId="104" applyNumberFormat="0" applyAlignment="0" applyProtection="0"/>
    <xf numFmtId="0" fontId="54" fillId="10" borderId="108" applyNumberFormat="0" applyAlignment="0" applyProtection="0"/>
    <xf numFmtId="0" fontId="53" fillId="0" borderId="78" applyNumberFormat="0" applyFill="0" applyAlignment="0" applyProtection="0"/>
    <xf numFmtId="0" fontId="53" fillId="0" borderId="78" applyNumberFormat="0" applyFill="0" applyAlignment="0" applyProtection="0"/>
    <xf numFmtId="0" fontId="54" fillId="10" borderId="104" applyNumberFormat="0" applyAlignment="0" applyProtection="0"/>
    <xf numFmtId="0" fontId="47" fillId="19" borderId="104" applyNumberFormat="0" applyAlignment="0" applyProtection="0"/>
    <xf numFmtId="0" fontId="18" fillId="7" borderId="105" applyNumberFormat="0" applyFont="0" applyAlignment="0" applyProtection="0"/>
    <xf numFmtId="0" fontId="57" fillId="19" borderId="106" applyNumberFormat="0" applyAlignment="0" applyProtection="0"/>
    <xf numFmtId="0" fontId="59" fillId="0" borderId="107" applyNumberFormat="0" applyFill="0" applyAlignment="0" applyProtection="0"/>
    <xf numFmtId="0" fontId="57" fillId="19" borderId="110" applyNumberFormat="0" applyAlignment="0" applyProtection="0"/>
    <xf numFmtId="0" fontId="57" fillId="19" borderId="110" applyNumberFormat="0" applyAlignment="0" applyProtection="0"/>
    <xf numFmtId="0" fontId="54" fillId="10" borderId="104" applyNumberFormat="0" applyAlignment="0" applyProtection="0"/>
    <xf numFmtId="0" fontId="18" fillId="7" borderId="109" applyNumberFormat="0" applyFont="0" applyAlignment="0" applyProtection="0"/>
    <xf numFmtId="0" fontId="57" fillId="19" borderId="110" applyNumberFormat="0" applyAlignment="0" applyProtection="0"/>
    <xf numFmtId="0" fontId="59" fillId="0" borderId="111" applyNumberFormat="0" applyFill="0" applyAlignment="0" applyProtection="0"/>
    <xf numFmtId="0" fontId="59" fillId="0" borderId="111" applyNumberFormat="0" applyFill="0" applyAlignment="0" applyProtection="0"/>
    <xf numFmtId="0" fontId="18" fillId="7" borderId="109" applyNumberFormat="0" applyFont="0" applyAlignment="0" applyProtection="0"/>
    <xf numFmtId="0" fontId="59" fillId="0" borderId="107" applyNumberFormat="0" applyFill="0" applyAlignment="0" applyProtection="0"/>
    <xf numFmtId="0" fontId="18" fillId="7" borderId="109" applyNumberFormat="0" applyFont="0" applyAlignment="0" applyProtection="0"/>
    <xf numFmtId="0" fontId="54" fillId="10" borderId="108" applyNumberFormat="0" applyAlignment="0" applyProtection="0"/>
    <xf numFmtId="0" fontId="57" fillId="19" borderId="106" applyNumberFormat="0" applyAlignment="0" applyProtection="0"/>
    <xf numFmtId="0" fontId="59" fillId="0" borderId="107" applyNumberFormat="0" applyFill="0" applyAlignment="0" applyProtection="0"/>
    <xf numFmtId="0" fontId="57" fillId="19" borderId="106" applyNumberFormat="0" applyAlignment="0" applyProtection="0"/>
    <xf numFmtId="0" fontId="54" fillId="10" borderId="104" applyNumberFormat="0" applyAlignment="0" applyProtection="0"/>
    <xf numFmtId="0" fontId="18" fillId="7" borderId="105" applyNumberFormat="0" applyFont="0" applyAlignment="0" applyProtection="0"/>
    <xf numFmtId="0" fontId="18" fillId="7" borderId="105" applyNumberFormat="0" applyFont="0" applyAlignment="0" applyProtection="0"/>
    <xf numFmtId="0" fontId="59" fillId="0" borderId="107" applyNumberFormat="0" applyFill="0" applyAlignment="0" applyProtection="0"/>
    <xf numFmtId="0" fontId="59" fillId="0" borderId="111" applyNumberFormat="0" applyFill="0" applyAlignment="0" applyProtection="0"/>
    <xf numFmtId="0" fontId="47" fillId="19" borderId="108" applyNumberFormat="0" applyAlignment="0" applyProtection="0"/>
    <xf numFmtId="0" fontId="54" fillId="10" borderId="104" applyNumberFormat="0" applyAlignment="0" applyProtection="0"/>
    <xf numFmtId="0" fontId="47" fillId="19" borderId="108" applyNumberFormat="0" applyAlignment="0" applyProtection="0"/>
    <xf numFmtId="0" fontId="47" fillId="19" borderId="104" applyNumberFormat="0" applyAlignment="0" applyProtection="0"/>
    <xf numFmtId="0" fontId="9"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7" fillId="0" borderId="0" applyFont="0" applyFill="0" applyBorder="0" applyAlignment="0" applyProtection="0"/>
    <xf numFmtId="44" fontId="7" fillId="0" borderId="0" applyFont="0" applyFill="0" applyBorder="0" applyAlignment="0" applyProtection="0"/>
    <xf numFmtId="0" fontId="57" fillId="19" borderId="115" applyNumberFormat="0" applyAlignment="0" applyProtection="0"/>
    <xf numFmtId="0" fontId="7" fillId="0" borderId="0"/>
    <xf numFmtId="166" fontId="7" fillId="0" borderId="0" applyFont="0" applyFill="0" applyBorder="0" applyAlignment="0" applyProtection="0"/>
    <xf numFmtId="0" fontId="54" fillId="10" borderId="113" applyNumberFormat="0" applyAlignment="0" applyProtection="0"/>
    <xf numFmtId="9" fontId="7" fillId="0" borderId="0" applyFont="0" applyFill="0" applyBorder="0" applyAlignment="0" applyProtection="0"/>
    <xf numFmtId="0" fontId="7" fillId="0" borderId="0"/>
    <xf numFmtId="0" fontId="18" fillId="7" borderId="114" applyNumberFormat="0" applyFont="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10"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59" fillId="0" borderId="116" applyNumberFormat="0" applyFill="0" applyAlignment="0" applyProtection="0"/>
    <xf numFmtId="0" fontId="47" fillId="19" borderId="113" applyNumberFormat="0" applyAlignment="0" applyProtection="0"/>
    <xf numFmtId="0" fontId="47" fillId="19" borderId="113" applyNumberFormat="0" applyAlignment="0" applyProtection="0"/>
    <xf numFmtId="0" fontId="54" fillId="10" borderId="113" applyNumberFormat="0" applyAlignment="0" applyProtection="0"/>
    <xf numFmtId="0" fontId="18" fillId="7" borderId="114" applyNumberFormat="0" applyFont="0" applyAlignment="0" applyProtection="0"/>
    <xf numFmtId="0" fontId="59" fillId="0" borderId="116" applyNumberFormat="0" applyFill="0" applyAlignment="0" applyProtection="0"/>
    <xf numFmtId="0" fontId="7" fillId="0" borderId="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44" fontId="10" fillId="0" borderId="0" applyFont="0" applyFill="0" applyBorder="0" applyAlignment="0" applyProtection="0"/>
    <xf numFmtId="9" fontId="78" fillId="0" borderId="0" applyFont="0" applyFill="0" applyBorder="0" applyAlignment="0" applyProtection="0"/>
    <xf numFmtId="0" fontId="78" fillId="0" borderId="0"/>
    <xf numFmtId="0" fontId="78" fillId="0" borderId="0"/>
    <xf numFmtId="43" fontId="18" fillId="0" borderId="0" applyFont="0" applyFill="0" applyBorder="0" applyAlignment="0" applyProtection="0"/>
    <xf numFmtId="44" fontId="18"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0" fontId="47" fillId="19" borderId="124" applyNumberFormat="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6" fillId="0" borderId="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0" fontId="47" fillId="19" borderId="124" applyNumberFormat="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47" fillId="19" borderId="124" applyNumberFormat="0" applyAlignment="0" applyProtection="0"/>
    <xf numFmtId="0" fontId="53" fillId="0" borderId="103" applyNumberFormat="0" applyFill="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18" fillId="7" borderId="125" applyNumberFormat="0" applyFont="0" applyAlignment="0" applyProtection="0"/>
    <xf numFmtId="0" fontId="47" fillId="19" borderId="124" applyNumberFormat="0" applyAlignment="0" applyProtection="0"/>
    <xf numFmtId="0" fontId="57" fillId="19" borderId="126" applyNumberFormat="0" applyAlignment="0" applyProtection="0"/>
    <xf numFmtId="0" fontId="54" fillId="10" borderId="124" applyNumberFormat="0" applyAlignment="0" applyProtection="0"/>
    <xf numFmtId="0" fontId="47" fillId="19" borderId="124" applyNumberFormat="0" applyAlignment="0" applyProtection="0"/>
    <xf numFmtId="0" fontId="47" fillId="19" borderId="124" applyNumberFormat="0" applyAlignment="0" applyProtection="0"/>
    <xf numFmtId="0" fontId="54" fillId="10" borderId="124" applyNumberFormat="0" applyAlignment="0" applyProtection="0"/>
    <xf numFmtId="0" fontId="53" fillId="0" borderId="103" applyNumberFormat="0" applyFill="0" applyAlignment="0" applyProtection="0"/>
    <xf numFmtId="0" fontId="53" fillId="0" borderId="103" applyNumberFormat="0" applyFill="0" applyAlignment="0" applyProtection="0"/>
    <xf numFmtId="0" fontId="54" fillId="10" borderId="124" applyNumberFormat="0" applyAlignment="0" applyProtection="0"/>
    <xf numFmtId="0" fontId="47" fillId="19"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57" fillId="19" borderId="126" applyNumberFormat="0" applyAlignment="0" applyProtection="0"/>
    <xf numFmtId="0" fontId="57" fillId="19" borderId="126" applyNumberFormat="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59" fillId="0" borderId="127" applyNumberFormat="0" applyFill="0" applyAlignment="0" applyProtection="0"/>
    <xf numFmtId="0" fontId="18" fillId="7" borderId="125" applyNumberFormat="0" applyFont="0" applyAlignment="0" applyProtection="0"/>
    <xf numFmtId="0" fontId="59" fillId="0" borderId="127" applyNumberFormat="0" applyFill="0" applyAlignment="0" applyProtection="0"/>
    <xf numFmtId="0" fontId="18" fillId="7" borderId="125" applyNumberFormat="0" applyFont="0" applyAlignment="0" applyProtection="0"/>
    <xf numFmtId="0" fontId="54" fillId="10" borderId="124" applyNumberFormat="0" applyAlignment="0" applyProtection="0"/>
    <xf numFmtId="0" fontId="57" fillId="19" borderId="126" applyNumberFormat="0" applyAlignment="0" applyProtection="0"/>
    <xf numFmtId="0" fontId="59" fillId="0" borderId="127" applyNumberFormat="0" applyFill="0" applyAlignment="0" applyProtection="0"/>
    <xf numFmtId="0" fontId="57" fillId="19" borderId="126" applyNumberFormat="0" applyAlignment="0" applyProtection="0"/>
    <xf numFmtId="0" fontId="54" fillId="10" borderId="124" applyNumberFormat="0" applyAlignment="0" applyProtection="0"/>
    <xf numFmtId="0" fontId="18" fillId="7" borderId="125" applyNumberFormat="0" applyFont="0" applyAlignment="0" applyProtection="0"/>
    <xf numFmtId="0" fontId="18" fillId="7" borderId="125" applyNumberFormat="0" applyFont="0" applyAlignment="0" applyProtection="0"/>
    <xf numFmtId="0" fontId="59" fillId="0" borderId="127" applyNumberFormat="0" applyFill="0" applyAlignment="0" applyProtection="0"/>
    <xf numFmtId="0" fontId="59" fillId="0" borderId="127" applyNumberFormat="0" applyFill="0" applyAlignment="0" applyProtection="0"/>
    <xf numFmtId="0" fontId="47" fillId="19" borderId="124" applyNumberFormat="0" applyAlignment="0" applyProtection="0"/>
    <xf numFmtId="0" fontId="54" fillId="10" borderId="124" applyNumberFormat="0" applyAlignment="0" applyProtection="0"/>
    <xf numFmtId="0" fontId="47" fillId="19" borderId="124" applyNumberFormat="0" applyAlignment="0" applyProtection="0"/>
    <xf numFmtId="0" fontId="47" fillId="19" borderId="124" applyNumberFormat="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47" fillId="19" borderId="124" applyNumberFormat="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18" fillId="7" borderId="125" applyNumberFormat="0" applyFont="0" applyAlignment="0" applyProtection="0"/>
    <xf numFmtId="0" fontId="47" fillId="19" borderId="124" applyNumberFormat="0" applyAlignment="0" applyProtection="0"/>
    <xf numFmtId="0" fontId="57" fillId="19" borderId="126" applyNumberFormat="0" applyAlignment="0" applyProtection="0"/>
    <xf numFmtId="0" fontId="54" fillId="10" borderId="124" applyNumberFormat="0" applyAlignment="0" applyProtection="0"/>
    <xf numFmtId="0" fontId="47" fillId="19" borderId="124" applyNumberFormat="0" applyAlignment="0" applyProtection="0"/>
    <xf numFmtId="0" fontId="47" fillId="19" borderId="124" applyNumberFormat="0" applyAlignment="0" applyProtection="0"/>
    <xf numFmtId="0" fontId="54" fillId="10" borderId="124" applyNumberFormat="0" applyAlignment="0" applyProtection="0"/>
    <xf numFmtId="0" fontId="54" fillId="10" borderId="124" applyNumberFormat="0" applyAlignment="0" applyProtection="0"/>
    <xf numFmtId="0" fontId="47" fillId="19"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57" fillId="19" borderId="126" applyNumberFormat="0" applyAlignment="0" applyProtection="0"/>
    <xf numFmtId="0" fontId="57" fillId="19" borderId="126" applyNumberFormat="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59" fillId="0" borderId="127" applyNumberFormat="0" applyFill="0" applyAlignment="0" applyProtection="0"/>
    <xf numFmtId="0" fontId="18" fillId="7" borderId="125" applyNumberFormat="0" applyFont="0" applyAlignment="0" applyProtection="0"/>
    <xf numFmtId="0" fontId="59" fillId="0" borderId="127" applyNumberFormat="0" applyFill="0" applyAlignment="0" applyProtection="0"/>
    <xf numFmtId="0" fontId="18" fillId="7" borderId="125" applyNumberFormat="0" applyFont="0" applyAlignment="0" applyProtection="0"/>
    <xf numFmtId="0" fontId="54" fillId="10" borderId="124" applyNumberFormat="0" applyAlignment="0" applyProtection="0"/>
    <xf numFmtId="0" fontId="57" fillId="19" borderId="126" applyNumberFormat="0" applyAlignment="0" applyProtection="0"/>
    <xf numFmtId="0" fontId="59" fillId="0" borderId="127" applyNumberFormat="0" applyFill="0" applyAlignment="0" applyProtection="0"/>
    <xf numFmtId="0" fontId="57" fillId="19" borderId="126" applyNumberFormat="0" applyAlignment="0" applyProtection="0"/>
    <xf numFmtId="0" fontId="54" fillId="10" borderId="124" applyNumberFormat="0" applyAlignment="0" applyProtection="0"/>
    <xf numFmtId="0" fontId="18" fillId="7" borderId="125" applyNumberFormat="0" applyFont="0" applyAlignment="0" applyProtection="0"/>
    <xf numFmtId="0" fontId="18" fillId="7" borderId="125" applyNumberFormat="0" applyFont="0" applyAlignment="0" applyProtection="0"/>
    <xf numFmtId="0" fontId="59" fillId="0" borderId="127" applyNumberFormat="0" applyFill="0" applyAlignment="0" applyProtection="0"/>
    <xf numFmtId="0" fontId="59" fillId="0" borderId="127" applyNumberFormat="0" applyFill="0" applyAlignment="0" applyProtection="0"/>
    <xf numFmtId="0" fontId="47" fillId="19" borderId="124" applyNumberFormat="0" applyAlignment="0" applyProtection="0"/>
    <xf numFmtId="0" fontId="54" fillId="10" borderId="124" applyNumberFormat="0" applyAlignment="0" applyProtection="0"/>
    <xf numFmtId="0" fontId="47" fillId="19" borderId="124" applyNumberFormat="0" applyAlignment="0" applyProtection="0"/>
    <xf numFmtId="0" fontId="47" fillId="19" borderId="124" applyNumberFormat="0" applyAlignment="0" applyProtection="0"/>
    <xf numFmtId="166" fontId="6" fillId="0" borderId="0" applyFont="0" applyFill="0" applyBorder="0" applyAlignment="0" applyProtection="0"/>
    <xf numFmtId="167"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47" fillId="19" borderId="124" applyNumberFormat="0" applyAlignment="0" applyProtection="0"/>
    <xf numFmtId="166" fontId="6" fillId="0" borderId="0" applyFont="0" applyFill="0" applyBorder="0" applyAlignment="0" applyProtection="0"/>
    <xf numFmtId="0" fontId="47" fillId="19" borderId="124" applyNumberFormat="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167"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47" fillId="19" borderId="124" applyNumberFormat="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18" fillId="7" borderId="125" applyNumberFormat="0" applyFont="0" applyAlignment="0" applyProtection="0"/>
    <xf numFmtId="0" fontId="47" fillId="19" borderId="124" applyNumberFormat="0" applyAlignment="0" applyProtection="0"/>
    <xf numFmtId="0" fontId="53" fillId="0" borderId="103" applyNumberFormat="0" applyFill="0" applyAlignment="0" applyProtection="0"/>
    <xf numFmtId="0" fontId="57" fillId="19" borderId="126" applyNumberFormat="0" applyAlignment="0" applyProtection="0"/>
    <xf numFmtId="0" fontId="54" fillId="10" borderId="124" applyNumberFormat="0" applyAlignment="0" applyProtection="0"/>
    <xf numFmtId="0" fontId="47" fillId="19" borderId="124" applyNumberFormat="0" applyAlignment="0" applyProtection="0"/>
    <xf numFmtId="0" fontId="47" fillId="19" borderId="124" applyNumberFormat="0" applyAlignment="0" applyProtection="0"/>
    <xf numFmtId="0" fontId="54" fillId="10" borderId="124" applyNumberFormat="0" applyAlignment="0" applyProtection="0"/>
    <xf numFmtId="0" fontId="54" fillId="10" borderId="124" applyNumberFormat="0" applyAlignment="0" applyProtection="0"/>
    <xf numFmtId="0" fontId="47" fillId="19"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57" fillId="19" borderId="126" applyNumberFormat="0" applyAlignment="0" applyProtection="0"/>
    <xf numFmtId="0" fontId="57" fillId="19" borderId="126" applyNumberFormat="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59" fillId="0" borderId="127" applyNumberFormat="0" applyFill="0" applyAlignment="0" applyProtection="0"/>
    <xf numFmtId="0" fontId="18" fillId="7" borderId="125" applyNumberFormat="0" applyFont="0" applyAlignment="0" applyProtection="0"/>
    <xf numFmtId="0" fontId="59" fillId="0" borderId="127" applyNumberFormat="0" applyFill="0" applyAlignment="0" applyProtection="0"/>
    <xf numFmtId="0" fontId="18" fillId="7" borderId="125" applyNumberFormat="0" applyFont="0" applyAlignment="0" applyProtection="0"/>
    <xf numFmtId="0" fontId="54" fillId="10" borderId="124" applyNumberFormat="0" applyAlignment="0" applyProtection="0"/>
    <xf numFmtId="0" fontId="57" fillId="19" borderId="126" applyNumberFormat="0" applyAlignment="0" applyProtection="0"/>
    <xf numFmtId="0" fontId="59" fillId="0" borderId="127" applyNumberFormat="0" applyFill="0" applyAlignment="0" applyProtection="0"/>
    <xf numFmtId="0" fontId="57" fillId="19" borderId="126" applyNumberFormat="0" applyAlignment="0" applyProtection="0"/>
    <xf numFmtId="0" fontId="54" fillId="10" borderId="124" applyNumberFormat="0" applyAlignment="0" applyProtection="0"/>
    <xf numFmtId="0" fontId="18" fillId="7" borderId="125" applyNumberFormat="0" applyFont="0" applyAlignment="0" applyProtection="0"/>
    <xf numFmtId="0" fontId="18" fillId="7" borderId="125" applyNumberFormat="0" applyFont="0" applyAlignment="0" applyProtection="0"/>
    <xf numFmtId="0" fontId="59" fillId="0" borderId="127" applyNumberFormat="0" applyFill="0" applyAlignment="0" applyProtection="0"/>
    <xf numFmtId="0" fontId="59" fillId="0" borderId="127" applyNumberFormat="0" applyFill="0" applyAlignment="0" applyProtection="0"/>
    <xf numFmtId="0" fontId="47" fillId="19" borderId="124" applyNumberFormat="0" applyAlignment="0" applyProtection="0"/>
    <xf numFmtId="0" fontId="54" fillId="10" borderId="124" applyNumberFormat="0" applyAlignment="0" applyProtection="0"/>
    <xf numFmtId="0" fontId="47" fillId="19" borderId="124" applyNumberFormat="0" applyAlignment="0" applyProtection="0"/>
    <xf numFmtId="0" fontId="47" fillId="19" borderId="124" applyNumberFormat="0" applyAlignment="0" applyProtection="0"/>
    <xf numFmtId="0" fontId="47" fillId="19" borderId="124" applyNumberFormat="0" applyAlignment="0" applyProtection="0"/>
    <xf numFmtId="0" fontId="53" fillId="0" borderId="103" applyNumberFormat="0" applyFill="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47" fillId="19" borderId="124" applyNumberFormat="0" applyAlignment="0" applyProtection="0"/>
    <xf numFmtId="0" fontId="53" fillId="0" borderId="103" applyNumberFormat="0" applyFill="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18" fillId="7" borderId="125" applyNumberFormat="0" applyFont="0" applyAlignment="0" applyProtection="0"/>
    <xf numFmtId="0" fontId="47" fillId="19" borderId="124" applyNumberFormat="0" applyAlignment="0" applyProtection="0"/>
    <xf numFmtId="0" fontId="53" fillId="0" borderId="103" applyNumberFormat="0" applyFill="0" applyAlignment="0" applyProtection="0"/>
    <xf numFmtId="0" fontId="57" fillId="19" borderId="126" applyNumberFormat="0" applyAlignment="0" applyProtection="0"/>
    <xf numFmtId="0" fontId="54" fillId="10" borderId="124" applyNumberFormat="0" applyAlignment="0" applyProtection="0"/>
    <xf numFmtId="0" fontId="47" fillId="19" borderId="124" applyNumberFormat="0" applyAlignment="0" applyProtection="0"/>
    <xf numFmtId="0" fontId="47" fillId="19" borderId="124" applyNumberFormat="0" applyAlignment="0" applyProtection="0"/>
    <xf numFmtId="0" fontId="54" fillId="10" borderId="124" applyNumberFormat="0" applyAlignment="0" applyProtection="0"/>
    <xf numFmtId="0" fontId="53" fillId="0" borderId="103" applyNumberFormat="0" applyFill="0" applyAlignment="0" applyProtection="0"/>
    <xf numFmtId="0" fontId="53" fillId="0" borderId="103" applyNumberFormat="0" applyFill="0" applyAlignment="0" applyProtection="0"/>
    <xf numFmtId="0" fontId="54" fillId="10" borderId="124" applyNumberFormat="0" applyAlignment="0" applyProtection="0"/>
    <xf numFmtId="0" fontId="47" fillId="19"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57" fillId="19" borderId="126" applyNumberFormat="0" applyAlignment="0" applyProtection="0"/>
    <xf numFmtId="0" fontId="57" fillId="19" borderId="126" applyNumberFormat="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59" fillId="0" borderId="127" applyNumberFormat="0" applyFill="0" applyAlignment="0" applyProtection="0"/>
    <xf numFmtId="0" fontId="18" fillId="7" borderId="125" applyNumberFormat="0" applyFont="0" applyAlignment="0" applyProtection="0"/>
    <xf numFmtId="0" fontId="59" fillId="0" borderId="127" applyNumberFormat="0" applyFill="0" applyAlignment="0" applyProtection="0"/>
    <xf numFmtId="0" fontId="18" fillId="7" borderId="125" applyNumberFormat="0" applyFont="0" applyAlignment="0" applyProtection="0"/>
    <xf numFmtId="0" fontId="54" fillId="10" borderId="124" applyNumberFormat="0" applyAlignment="0" applyProtection="0"/>
    <xf numFmtId="0" fontId="57" fillId="19" borderId="126" applyNumberFormat="0" applyAlignment="0" applyProtection="0"/>
    <xf numFmtId="0" fontId="59" fillId="0" borderId="127" applyNumberFormat="0" applyFill="0" applyAlignment="0" applyProtection="0"/>
    <xf numFmtId="0" fontId="57" fillId="19" borderId="126" applyNumberFormat="0" applyAlignment="0" applyProtection="0"/>
    <xf numFmtId="0" fontId="54" fillId="10" borderId="124" applyNumberFormat="0" applyAlignment="0" applyProtection="0"/>
    <xf numFmtId="0" fontId="18" fillId="7" borderId="125" applyNumberFormat="0" applyFont="0" applyAlignment="0" applyProtection="0"/>
    <xf numFmtId="0" fontId="18" fillId="7" borderId="125" applyNumberFormat="0" applyFont="0" applyAlignment="0" applyProtection="0"/>
    <xf numFmtId="0" fontId="59" fillId="0" borderId="127" applyNumberFormat="0" applyFill="0" applyAlignment="0" applyProtection="0"/>
    <xf numFmtId="0" fontId="59" fillId="0" borderId="127" applyNumberFormat="0" applyFill="0" applyAlignment="0" applyProtection="0"/>
    <xf numFmtId="0" fontId="47" fillId="19" borderId="124" applyNumberFormat="0" applyAlignment="0" applyProtection="0"/>
    <xf numFmtId="0" fontId="54" fillId="10" borderId="124" applyNumberFormat="0" applyAlignment="0" applyProtection="0"/>
    <xf numFmtId="0" fontId="47" fillId="19" borderId="124" applyNumberFormat="0" applyAlignment="0" applyProtection="0"/>
    <xf numFmtId="0" fontId="47" fillId="19" borderId="124" applyNumberFormat="0" applyAlignment="0" applyProtection="0"/>
    <xf numFmtId="0" fontId="47" fillId="19" borderId="124" applyNumberFormat="0" applyAlignment="0" applyProtection="0"/>
    <xf numFmtId="166" fontId="6" fillId="0" borderId="0" applyFont="0" applyFill="0" applyBorder="0" applyAlignment="0" applyProtection="0"/>
    <xf numFmtId="166" fontId="6" fillId="0" borderId="0" applyFont="0" applyFill="0" applyBorder="0" applyAlignment="0" applyProtection="0"/>
    <xf numFmtId="0" fontId="53" fillId="0" borderId="103" applyNumberFormat="0" applyFill="0" applyAlignment="0" applyProtection="0"/>
    <xf numFmtId="167" fontId="6" fillId="0" borderId="0" applyFont="0" applyFill="0" applyBorder="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47" fillId="19" borderId="124" applyNumberFormat="0" applyAlignment="0" applyProtection="0"/>
    <xf numFmtId="0" fontId="53" fillId="0" borderId="103" applyNumberFormat="0" applyFill="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18" fillId="7" borderId="125" applyNumberFormat="0" applyFont="0" applyAlignment="0" applyProtection="0"/>
    <xf numFmtId="0" fontId="47" fillId="19" borderId="124" applyNumberFormat="0" applyAlignment="0" applyProtection="0"/>
    <xf numFmtId="0" fontId="57" fillId="19" borderId="126" applyNumberFormat="0" applyAlignment="0" applyProtection="0"/>
    <xf numFmtId="0" fontId="54" fillId="10" borderId="124" applyNumberFormat="0" applyAlignment="0" applyProtection="0"/>
    <xf numFmtId="0" fontId="47" fillId="19" borderId="124" applyNumberFormat="0" applyAlignment="0" applyProtection="0"/>
    <xf numFmtId="0" fontId="47" fillId="19" borderId="124" applyNumberFormat="0" applyAlignment="0" applyProtection="0"/>
    <xf numFmtId="0" fontId="54" fillId="10" borderId="124" applyNumberFormat="0" applyAlignment="0" applyProtection="0"/>
    <xf numFmtId="0" fontId="53" fillId="0" borderId="103" applyNumberFormat="0" applyFill="0" applyAlignment="0" applyProtection="0"/>
    <xf numFmtId="0" fontId="53" fillId="0" borderId="103" applyNumberFormat="0" applyFill="0" applyAlignment="0" applyProtection="0"/>
    <xf numFmtId="0" fontId="54" fillId="10" borderId="124" applyNumberFormat="0" applyAlignment="0" applyProtection="0"/>
    <xf numFmtId="0" fontId="47" fillId="19"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57" fillId="19" borderId="126" applyNumberFormat="0" applyAlignment="0" applyProtection="0"/>
    <xf numFmtId="0" fontId="57" fillId="19" borderId="126" applyNumberFormat="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59" fillId="0" borderId="127" applyNumberFormat="0" applyFill="0" applyAlignment="0" applyProtection="0"/>
    <xf numFmtId="0" fontId="18" fillId="7" borderId="125" applyNumberFormat="0" applyFont="0" applyAlignment="0" applyProtection="0"/>
    <xf numFmtId="0" fontId="59" fillId="0" borderId="127" applyNumberFormat="0" applyFill="0" applyAlignment="0" applyProtection="0"/>
    <xf numFmtId="0" fontId="18" fillId="7" borderId="125" applyNumberFormat="0" applyFont="0" applyAlignment="0" applyProtection="0"/>
    <xf numFmtId="0" fontId="54" fillId="10" borderId="124" applyNumberFormat="0" applyAlignment="0" applyProtection="0"/>
    <xf numFmtId="0" fontId="57" fillId="19" borderId="126" applyNumberFormat="0" applyAlignment="0" applyProtection="0"/>
    <xf numFmtId="0" fontId="59" fillId="0" borderId="127" applyNumberFormat="0" applyFill="0" applyAlignment="0" applyProtection="0"/>
    <xf numFmtId="0" fontId="57" fillId="19" borderId="126" applyNumberFormat="0" applyAlignment="0" applyProtection="0"/>
    <xf numFmtId="0" fontId="54" fillId="10" borderId="124" applyNumberFormat="0" applyAlignment="0" applyProtection="0"/>
    <xf numFmtId="0" fontId="18" fillId="7" borderId="125" applyNumberFormat="0" applyFont="0" applyAlignment="0" applyProtection="0"/>
    <xf numFmtId="0" fontId="18" fillId="7" borderId="125" applyNumberFormat="0" applyFont="0" applyAlignment="0" applyProtection="0"/>
    <xf numFmtId="0" fontId="59" fillId="0" borderId="127" applyNumberFormat="0" applyFill="0" applyAlignment="0" applyProtection="0"/>
    <xf numFmtId="0" fontId="59" fillId="0" borderId="127" applyNumberFormat="0" applyFill="0" applyAlignment="0" applyProtection="0"/>
    <xf numFmtId="0" fontId="47" fillId="19" borderId="124" applyNumberFormat="0" applyAlignment="0" applyProtection="0"/>
    <xf numFmtId="0" fontId="54" fillId="10" borderId="124" applyNumberFormat="0" applyAlignment="0" applyProtection="0"/>
    <xf numFmtId="0" fontId="47" fillId="19" borderId="124" applyNumberFormat="0" applyAlignment="0" applyProtection="0"/>
    <xf numFmtId="0" fontId="47" fillId="19" borderId="124" applyNumberFormat="0" applyAlignment="0" applyProtection="0"/>
    <xf numFmtId="0" fontId="53" fillId="0" borderId="103" applyNumberFormat="0" applyFill="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47" fillId="19" borderId="124" applyNumberFormat="0" applyAlignment="0" applyProtection="0"/>
    <xf numFmtId="0" fontId="53" fillId="0" borderId="103" applyNumberFormat="0" applyFill="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18" fillId="7" borderId="125" applyNumberFormat="0" applyFont="0" applyAlignment="0" applyProtection="0"/>
    <xf numFmtId="0" fontId="47" fillId="19" borderId="124" applyNumberFormat="0" applyAlignment="0" applyProtection="0"/>
    <xf numFmtId="0" fontId="53" fillId="0" borderId="103" applyNumberFormat="0" applyFill="0" applyAlignment="0" applyProtection="0"/>
    <xf numFmtId="0" fontId="57" fillId="19" borderId="126" applyNumberFormat="0" applyAlignment="0" applyProtection="0"/>
    <xf numFmtId="0" fontId="54" fillId="10" borderId="124" applyNumberFormat="0" applyAlignment="0" applyProtection="0"/>
    <xf numFmtId="0" fontId="47" fillId="19" borderId="124" applyNumberFormat="0" applyAlignment="0" applyProtection="0"/>
    <xf numFmtId="0" fontId="47" fillId="19" borderId="124" applyNumberFormat="0" applyAlignment="0" applyProtection="0"/>
    <xf numFmtId="0" fontId="54" fillId="10" borderId="124" applyNumberFormat="0" applyAlignment="0" applyProtection="0"/>
    <xf numFmtId="0" fontId="53" fillId="0" borderId="103" applyNumberFormat="0" applyFill="0" applyAlignment="0" applyProtection="0"/>
    <xf numFmtId="0" fontId="53" fillId="0" borderId="103" applyNumberFormat="0" applyFill="0" applyAlignment="0" applyProtection="0"/>
    <xf numFmtId="0" fontId="54" fillId="10" borderId="124" applyNumberFormat="0" applyAlignment="0" applyProtection="0"/>
    <xf numFmtId="0" fontId="47" fillId="19"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57" fillId="19" borderId="126" applyNumberFormat="0" applyAlignment="0" applyProtection="0"/>
    <xf numFmtId="0" fontId="57" fillId="19" borderId="126" applyNumberFormat="0" applyAlignment="0" applyProtection="0"/>
    <xf numFmtId="0" fontId="54" fillId="10" borderId="124" applyNumberFormat="0" applyAlignment="0" applyProtection="0"/>
    <xf numFmtId="0" fontId="18" fillId="7" borderId="125" applyNumberFormat="0" applyFont="0" applyAlignment="0" applyProtection="0"/>
    <xf numFmtId="0" fontId="57" fillId="19" borderId="126" applyNumberFormat="0" applyAlignment="0" applyProtection="0"/>
    <xf numFmtId="0" fontId="59" fillId="0" borderId="127" applyNumberFormat="0" applyFill="0" applyAlignment="0" applyProtection="0"/>
    <xf numFmtId="0" fontId="59" fillId="0" borderId="127" applyNumberFormat="0" applyFill="0" applyAlignment="0" applyProtection="0"/>
    <xf numFmtId="0" fontId="18" fillId="7" borderId="125" applyNumberFormat="0" applyFont="0" applyAlignment="0" applyProtection="0"/>
    <xf numFmtId="0" fontId="59" fillId="0" borderId="127" applyNumberFormat="0" applyFill="0" applyAlignment="0" applyProtection="0"/>
    <xf numFmtId="0" fontId="18" fillId="7" borderId="125" applyNumberFormat="0" applyFont="0" applyAlignment="0" applyProtection="0"/>
    <xf numFmtId="0" fontId="54" fillId="10" borderId="124" applyNumberFormat="0" applyAlignment="0" applyProtection="0"/>
    <xf numFmtId="0" fontId="57" fillId="19" borderId="126" applyNumberFormat="0" applyAlignment="0" applyProtection="0"/>
    <xf numFmtId="0" fontId="59" fillId="0" borderId="127" applyNumberFormat="0" applyFill="0" applyAlignment="0" applyProtection="0"/>
    <xf numFmtId="0" fontId="57" fillId="19" borderId="126" applyNumberFormat="0" applyAlignment="0" applyProtection="0"/>
    <xf numFmtId="0" fontId="54" fillId="10" borderId="124" applyNumberFormat="0" applyAlignment="0" applyProtection="0"/>
    <xf numFmtId="0" fontId="18" fillId="7" borderId="125" applyNumberFormat="0" applyFont="0" applyAlignment="0" applyProtection="0"/>
    <xf numFmtId="0" fontId="18" fillId="7" borderId="125" applyNumberFormat="0" applyFont="0" applyAlignment="0" applyProtection="0"/>
    <xf numFmtId="0" fontId="59" fillId="0" borderId="127" applyNumberFormat="0" applyFill="0" applyAlignment="0" applyProtection="0"/>
    <xf numFmtId="0" fontId="59" fillId="0" borderId="127" applyNumberFormat="0" applyFill="0" applyAlignment="0" applyProtection="0"/>
    <xf numFmtId="0" fontId="47" fillId="19" borderId="124" applyNumberFormat="0" applyAlignment="0" applyProtection="0"/>
    <xf numFmtId="0" fontId="54" fillId="10" borderId="124" applyNumberFormat="0" applyAlignment="0" applyProtection="0"/>
    <xf numFmtId="0" fontId="47" fillId="19" borderId="124" applyNumberFormat="0" applyAlignment="0" applyProtection="0"/>
    <xf numFmtId="0" fontId="47" fillId="19" borderId="124" applyNumberFormat="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0" fontId="57" fillId="19" borderId="126" applyNumberFormat="0" applyAlignment="0" applyProtection="0"/>
    <xf numFmtId="0" fontId="6" fillId="0" borderId="0"/>
    <xf numFmtId="166" fontId="6" fillId="0" borderId="0" applyFont="0" applyFill="0" applyBorder="0" applyAlignment="0" applyProtection="0"/>
    <xf numFmtId="0" fontId="54" fillId="10" borderId="124" applyNumberFormat="0" applyAlignment="0" applyProtection="0"/>
    <xf numFmtId="9" fontId="6" fillId="0" borderId="0" applyFont="0" applyFill="0" applyBorder="0" applyAlignment="0" applyProtection="0"/>
    <xf numFmtId="0" fontId="6" fillId="0" borderId="0"/>
    <xf numFmtId="0" fontId="18" fillId="7" borderId="125" applyNumberFormat="0" applyFont="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59" fillId="0" borderId="127" applyNumberFormat="0" applyFill="0" applyAlignment="0" applyProtection="0"/>
    <xf numFmtId="0" fontId="47" fillId="19" borderId="124" applyNumberFormat="0" applyAlignment="0" applyProtection="0"/>
    <xf numFmtId="0" fontId="47" fillId="19" borderId="124" applyNumberFormat="0" applyAlignment="0" applyProtection="0"/>
    <xf numFmtId="0" fontId="54" fillId="10" borderId="124" applyNumberFormat="0" applyAlignment="0" applyProtection="0"/>
    <xf numFmtId="0" fontId="18" fillId="7" borderId="125" applyNumberFormat="0" applyFont="0" applyAlignment="0" applyProtection="0"/>
    <xf numFmtId="0" fontId="59" fillId="0" borderId="127" applyNumberFormat="0" applyFill="0" applyAlignment="0" applyProtection="0"/>
    <xf numFmtId="0" fontId="6" fillId="0" borderId="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5" fillId="0" borderId="0"/>
    <xf numFmtId="0" fontId="86"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0" fontId="18" fillId="0" borderId="0"/>
    <xf numFmtId="0" fontId="61" fillId="0" borderId="0"/>
    <xf numFmtId="166" fontId="4" fillId="0" borderId="0" applyFont="0" applyFill="0" applyBorder="0" applyAlignment="0" applyProtection="0"/>
    <xf numFmtId="0" fontId="98" fillId="0" borderId="0"/>
    <xf numFmtId="9" fontId="98" fillId="0" borderId="0" applyFont="0" applyFill="0" applyBorder="0" applyAlignment="0" applyProtection="0"/>
    <xf numFmtId="0" fontId="99" fillId="28" borderId="0" applyNumberFormat="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100" fillId="0" borderId="0"/>
    <xf numFmtId="44" fontId="98"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104" fillId="0" borderId="0" applyNumberFormat="0" applyFill="0" applyBorder="0" applyAlignment="0" applyProtection="0"/>
  </cellStyleXfs>
  <cellXfs count="550">
    <xf numFmtId="0" fontId="0" fillId="0" borderId="0" xfId="0"/>
    <xf numFmtId="44" fontId="28" fillId="0" borderId="0" xfId="5" applyFont="1" applyFill="1"/>
    <xf numFmtId="169" fontId="28" fillId="0" borderId="112" xfId="1" applyNumberFormat="1" applyFont="1" applyFill="1" applyBorder="1"/>
    <xf numFmtId="0" fontId="28" fillId="0" borderId="112" xfId="0" applyFont="1" applyBorder="1"/>
    <xf numFmtId="44" fontId="0" fillId="0" borderId="0" xfId="5" applyFont="1"/>
    <xf numFmtId="44" fontId="0" fillId="0" borderId="0" xfId="0" applyNumberFormat="1"/>
    <xf numFmtId="0" fontId="33" fillId="0" borderId="0" xfId="0" applyFont="1"/>
    <xf numFmtId="0" fontId="28" fillId="0" borderId="2" xfId="0" applyFont="1" applyBorder="1"/>
    <xf numFmtId="0" fontId="28" fillId="0" borderId="0" xfId="0" applyFont="1"/>
    <xf numFmtId="0" fontId="28" fillId="0" borderId="0" xfId="11" applyFont="1"/>
    <xf numFmtId="0" fontId="28" fillId="0" borderId="4" xfId="0" applyFont="1" applyBorder="1"/>
    <xf numFmtId="43" fontId="28" fillId="0" borderId="0" xfId="5" applyNumberFormat="1" applyFont="1" applyFill="1" applyBorder="1"/>
    <xf numFmtId="0" fontId="18" fillId="0" borderId="0" xfId="0" applyFont="1"/>
    <xf numFmtId="0" fontId="36" fillId="0" borderId="0" xfId="0" applyFont="1"/>
    <xf numFmtId="171" fontId="26" fillId="0" borderId="0" xfId="0" applyNumberFormat="1" applyFont="1"/>
    <xf numFmtId="44" fontId="28" fillId="0" borderId="0" xfId="5" applyFont="1" applyFill="1" applyBorder="1"/>
    <xf numFmtId="166" fontId="28" fillId="0" borderId="0" xfId="0" applyNumberFormat="1" applyFont="1"/>
    <xf numFmtId="166" fontId="28" fillId="0" borderId="0" xfId="17" applyNumberFormat="1" applyFont="1" applyFill="1" applyBorder="1"/>
    <xf numFmtId="0" fontId="28" fillId="0" borderId="0" xfId="23" applyFont="1"/>
    <xf numFmtId="0" fontId="28" fillId="0" borderId="27" xfId="0" applyFont="1" applyBorder="1"/>
    <xf numFmtId="44" fontId="28" fillId="0" borderId="0" xfId="0" applyNumberFormat="1" applyFont="1"/>
    <xf numFmtId="0" fontId="64" fillId="0" borderId="9" xfId="0" applyFont="1" applyBorder="1"/>
    <xf numFmtId="0" fontId="65" fillId="0" borderId="26" xfId="0" applyFont="1" applyBorder="1"/>
    <xf numFmtId="0" fontId="66" fillId="0" borderId="0" xfId="0" applyFont="1"/>
    <xf numFmtId="166" fontId="28" fillId="0" borderId="0" xfId="6" applyNumberFormat="1" applyFont="1" applyFill="1" applyBorder="1"/>
    <xf numFmtId="43" fontId="28" fillId="0" borderId="0" xfId="6" applyNumberFormat="1" applyFont="1" applyFill="1" applyBorder="1"/>
    <xf numFmtId="0" fontId="28" fillId="0" borderId="0" xfId="0" applyFont="1" applyAlignment="1">
      <alignment horizontal="right"/>
    </xf>
    <xf numFmtId="166" fontId="34" fillId="3" borderId="12" xfId="0" applyNumberFormat="1" applyFont="1" applyFill="1" applyBorder="1"/>
    <xf numFmtId="0" fontId="69" fillId="0" borderId="0" xfId="0" applyFont="1"/>
    <xf numFmtId="166" fontId="28" fillId="0" borderId="30" xfId="6" applyNumberFormat="1" applyFont="1" applyFill="1" applyBorder="1"/>
    <xf numFmtId="166" fontId="34" fillId="0" borderId="12" xfId="0" applyNumberFormat="1" applyFont="1" applyBorder="1"/>
    <xf numFmtId="169" fontId="28" fillId="0" borderId="0" xfId="1" applyNumberFormat="1" applyFont="1" applyFill="1" applyBorder="1"/>
    <xf numFmtId="43" fontId="18" fillId="0" borderId="0" xfId="0" applyNumberFormat="1" applyFont="1"/>
    <xf numFmtId="0" fontId="18" fillId="0" borderId="0" xfId="0" applyFont="1" applyAlignment="1">
      <alignment horizontal="left"/>
    </xf>
    <xf numFmtId="0" fontId="18" fillId="0" borderId="0" xfId="0" applyFont="1" applyAlignment="1">
      <alignment horizontal="center"/>
    </xf>
    <xf numFmtId="43" fontId="28" fillId="0" borderId="0" xfId="1" applyFont="1" applyFill="1" applyBorder="1"/>
    <xf numFmtId="0" fontId="71" fillId="0" borderId="0" xfId="0" applyFont="1"/>
    <xf numFmtId="0" fontId="37" fillId="0" borderId="4" xfId="0" applyFont="1" applyBorder="1"/>
    <xf numFmtId="166" fontId="28" fillId="0" borderId="23" xfId="6" applyNumberFormat="1" applyFont="1" applyFill="1" applyBorder="1"/>
    <xf numFmtId="44" fontId="28" fillId="0" borderId="0" xfId="6" applyFont="1" applyFill="1" applyBorder="1"/>
    <xf numFmtId="0" fontId="35" fillId="0" borderId="0" xfId="0" applyFont="1"/>
    <xf numFmtId="169" fontId="28" fillId="0" borderId="0" xfId="6" applyNumberFormat="1" applyFont="1" applyFill="1" applyBorder="1"/>
    <xf numFmtId="0" fontId="28" fillId="21" borderId="2" xfId="0" applyFont="1" applyFill="1" applyBorder="1"/>
    <xf numFmtId="166" fontId="28" fillId="0" borderId="0" xfId="6" applyNumberFormat="1" applyFont="1" applyBorder="1"/>
    <xf numFmtId="166" fontId="28" fillId="0" borderId="0" xfId="5" applyNumberFormat="1" applyFont="1" applyFill="1" applyBorder="1"/>
    <xf numFmtId="166" fontId="28" fillId="0" borderId="30" xfId="5" applyNumberFormat="1" applyFont="1" applyFill="1" applyBorder="1"/>
    <xf numFmtId="0" fontId="28" fillId="0" borderId="33" xfId="0" applyFont="1" applyBorder="1"/>
    <xf numFmtId="166" fontId="28" fillId="0" borderId="34" xfId="5" applyNumberFormat="1" applyFont="1" applyFill="1" applyBorder="1"/>
    <xf numFmtId="0" fontId="71" fillId="0" borderId="0" xfId="0" applyFont="1" applyAlignment="1">
      <alignment horizontal="right"/>
    </xf>
    <xf numFmtId="0" fontId="70" fillId="0" borderId="0" xfId="0" applyFont="1" applyAlignment="1">
      <alignment horizontal="right"/>
    </xf>
    <xf numFmtId="43" fontId="28" fillId="0" borderId="0" xfId="0" applyNumberFormat="1" applyFont="1"/>
    <xf numFmtId="0" fontId="72" fillId="0" borderId="0" xfId="0" applyFont="1"/>
    <xf numFmtId="0" fontId="28" fillId="0" borderId="32" xfId="0" applyFont="1" applyBorder="1"/>
    <xf numFmtId="166" fontId="28" fillId="0" borderId="33" xfId="5" applyNumberFormat="1" applyFont="1" applyFill="1" applyBorder="1"/>
    <xf numFmtId="166" fontId="28" fillId="0" borderId="32" xfId="5" applyNumberFormat="1" applyFont="1" applyFill="1" applyBorder="1"/>
    <xf numFmtId="0" fontId="28" fillId="0" borderId="34" xfId="0" applyFont="1" applyBorder="1"/>
    <xf numFmtId="166" fontId="28" fillId="0" borderId="29" xfId="5" applyNumberFormat="1" applyFont="1" applyFill="1" applyBorder="1"/>
    <xf numFmtId="166" fontId="28" fillId="0" borderId="31" xfId="5" applyNumberFormat="1" applyFont="1" applyFill="1" applyBorder="1"/>
    <xf numFmtId="166" fontId="28" fillId="0" borderId="35" xfId="5" applyNumberFormat="1" applyFont="1" applyFill="1" applyBorder="1"/>
    <xf numFmtId="166" fontId="28" fillId="0" borderId="36" xfId="5" applyNumberFormat="1" applyFont="1" applyFill="1" applyBorder="1"/>
    <xf numFmtId="166" fontId="28" fillId="0" borderId="0" xfId="23" applyNumberFormat="1" applyFont="1"/>
    <xf numFmtId="7" fontId="28" fillId="0" borderId="0" xfId="4" applyNumberFormat="1" applyFont="1" applyFill="1" applyBorder="1"/>
    <xf numFmtId="166" fontId="28" fillId="0" borderId="0" xfId="7" applyNumberFormat="1" applyFont="1" applyFill="1" applyBorder="1"/>
    <xf numFmtId="44" fontId="28" fillId="0" borderId="0" xfId="9" applyFont="1" applyFill="1" applyBorder="1"/>
    <xf numFmtId="171" fontId="28" fillId="0" borderId="0" xfId="0" applyNumberFormat="1" applyFont="1"/>
    <xf numFmtId="166" fontId="28" fillId="0" borderId="0" xfId="9" applyNumberFormat="1" applyFont="1" applyFill="1" applyBorder="1"/>
    <xf numFmtId="166" fontId="34" fillId="3" borderId="13" xfId="0" applyNumberFormat="1" applyFont="1" applyFill="1" applyBorder="1"/>
    <xf numFmtId="0" fontId="28" fillId="0" borderId="0" xfId="10" applyFont="1"/>
    <xf numFmtId="166" fontId="63" fillId="0" borderId="0" xfId="103" applyFont="1" applyFill="1" applyBorder="1"/>
    <xf numFmtId="0" fontId="28" fillId="0" borderId="0" xfId="5" applyNumberFormat="1" applyFont="1" applyFill="1" applyBorder="1" applyAlignment="1"/>
    <xf numFmtId="44" fontId="63" fillId="0" borderId="0" xfId="99" applyNumberFormat="1" applyFont="1"/>
    <xf numFmtId="44" fontId="34" fillId="0" borderId="0" xfId="0" applyNumberFormat="1" applyFont="1"/>
    <xf numFmtId="166" fontId="28" fillId="0" borderId="0" xfId="5" applyNumberFormat="1" applyFont="1" applyFill="1" applyBorder="1" applyAlignment="1">
      <alignment horizontal="left"/>
    </xf>
    <xf numFmtId="166" fontId="28" fillId="0" borderId="0" xfId="0" applyNumberFormat="1" applyFont="1" applyAlignment="1">
      <alignment horizontal="left"/>
    </xf>
    <xf numFmtId="168" fontId="28" fillId="0" borderId="0" xfId="0" applyNumberFormat="1" applyFont="1"/>
    <xf numFmtId="166" fontId="28" fillId="0" borderId="0" xfId="5" applyNumberFormat="1" applyFont="1" applyFill="1" applyBorder="1" applyAlignment="1">
      <alignment horizontal="right"/>
    </xf>
    <xf numFmtId="165" fontId="28" fillId="0" borderId="0" xfId="0" applyNumberFormat="1" applyFont="1"/>
    <xf numFmtId="44" fontId="63" fillId="0" borderId="0" xfId="38" applyFont="1" applyFill="1" applyBorder="1"/>
    <xf numFmtId="166" fontId="28" fillId="0" borderId="0" xfId="119" applyNumberFormat="1" applyFont="1" applyFill="1" applyBorder="1"/>
    <xf numFmtId="165" fontId="28" fillId="0" borderId="0" xfId="119" applyNumberFormat="1" applyFont="1" applyFill="1" applyBorder="1"/>
    <xf numFmtId="166" fontId="36" fillId="0" borderId="12" xfId="0" applyNumberFormat="1" applyFont="1" applyBorder="1"/>
    <xf numFmtId="166" fontId="34" fillId="3" borderId="37" xfId="0" applyNumberFormat="1" applyFont="1" applyFill="1" applyBorder="1"/>
    <xf numFmtId="166" fontId="74" fillId="3" borderId="12" xfId="0" applyNumberFormat="1" applyFont="1" applyFill="1" applyBorder="1"/>
    <xf numFmtId="0" fontId="75" fillId="0" borderId="0" xfId="0" applyFont="1"/>
    <xf numFmtId="166" fontId="74" fillId="3" borderId="0" xfId="0" applyNumberFormat="1" applyFont="1" applyFill="1"/>
    <xf numFmtId="0" fontId="73" fillId="0" borderId="0" xfId="0" applyFont="1"/>
    <xf numFmtId="166" fontId="39" fillId="0" borderId="0" xfId="5" applyNumberFormat="1" applyFont="1" applyFill="1" applyBorder="1"/>
    <xf numFmtId="166" fontId="28" fillId="0" borderId="34" xfId="6" applyNumberFormat="1" applyFont="1" applyFill="1" applyBorder="1"/>
    <xf numFmtId="0" fontId="68" fillId="21" borderId="0" xfId="0" applyFont="1" applyFill="1" applyAlignment="1">
      <alignment horizontal="left"/>
    </xf>
    <xf numFmtId="0" fontId="28" fillId="0" borderId="0" xfId="0" applyFont="1" applyAlignment="1">
      <alignment horizontal="center"/>
    </xf>
    <xf numFmtId="166" fontId="74" fillId="3" borderId="13" xfId="0" applyNumberFormat="1" applyFont="1" applyFill="1" applyBorder="1"/>
    <xf numFmtId="166" fontId="28" fillId="0" borderId="0" xfId="17" applyNumberFormat="1" applyFont="1" applyFill="1" applyBorder="1" applyAlignment="1">
      <alignment horizontal="right"/>
    </xf>
    <xf numFmtId="0" fontId="38" fillId="0" borderId="0" xfId="0" applyFont="1" applyAlignment="1">
      <alignment horizontal="right"/>
    </xf>
    <xf numFmtId="44" fontId="28" fillId="0" borderId="0" xfId="5" applyFont="1" applyFill="1" applyBorder="1" applyAlignment="1">
      <alignment horizontal="left"/>
    </xf>
    <xf numFmtId="166" fontId="28" fillId="0" borderId="29" xfId="6" applyNumberFormat="1" applyFont="1" applyFill="1" applyBorder="1"/>
    <xf numFmtId="166" fontId="28" fillId="0" borderId="31" xfId="6" applyNumberFormat="1" applyFont="1" applyFill="1" applyBorder="1"/>
    <xf numFmtId="0" fontId="28" fillId="0" borderId="33" xfId="0" applyFont="1" applyBorder="1" applyAlignment="1">
      <alignment horizontal="right"/>
    </xf>
    <xf numFmtId="166" fontId="28" fillId="0" borderId="32" xfId="6" applyNumberFormat="1" applyFont="1" applyFill="1" applyBorder="1"/>
    <xf numFmtId="166" fontId="39" fillId="0" borderId="30" xfId="5" applyNumberFormat="1" applyFont="1" applyFill="1" applyBorder="1"/>
    <xf numFmtId="166" fontId="39" fillId="0" borderId="29" xfId="5" applyNumberFormat="1" applyFont="1" applyFill="1" applyBorder="1"/>
    <xf numFmtId="166" fontId="39" fillId="0" borderId="31" xfId="5" applyNumberFormat="1" applyFont="1" applyFill="1" applyBorder="1"/>
    <xf numFmtId="166" fontId="39" fillId="0" borderId="33" xfId="5" applyNumberFormat="1" applyFont="1" applyFill="1" applyBorder="1"/>
    <xf numFmtId="166" fontId="39" fillId="0" borderId="32" xfId="5" applyNumberFormat="1" applyFont="1" applyFill="1" applyBorder="1"/>
    <xf numFmtId="166" fontId="39" fillId="0" borderId="34" xfId="5" applyNumberFormat="1" applyFont="1" applyFill="1" applyBorder="1"/>
    <xf numFmtId="171" fontId="77" fillId="0" borderId="0" xfId="0" applyNumberFormat="1" applyFont="1"/>
    <xf numFmtId="0" fontId="77" fillId="0" borderId="0" xfId="0" applyFont="1"/>
    <xf numFmtId="0" fontId="28" fillId="23" borderId="0" xfId="0" applyFont="1" applyFill="1"/>
    <xf numFmtId="166" fontId="34" fillId="23" borderId="12" xfId="0" applyNumberFormat="1" applyFont="1" applyFill="1" applyBorder="1"/>
    <xf numFmtId="166" fontId="28" fillId="23" borderId="0" xfId="0" applyNumberFormat="1" applyFont="1" applyFill="1"/>
    <xf numFmtId="166" fontId="28" fillId="23" borderId="0" xfId="6" applyNumberFormat="1" applyFont="1" applyFill="1" applyBorder="1"/>
    <xf numFmtId="166" fontId="28" fillId="23" borderId="34" xfId="6" applyNumberFormat="1" applyFont="1" applyFill="1" applyBorder="1"/>
    <xf numFmtId="44" fontId="28" fillId="23" borderId="0" xfId="6" applyFont="1" applyFill="1" applyBorder="1"/>
    <xf numFmtId="166" fontId="0" fillId="0" borderId="0" xfId="0" applyNumberFormat="1"/>
    <xf numFmtId="166" fontId="28" fillId="0" borderId="33" xfId="6" applyNumberFormat="1" applyFont="1" applyFill="1" applyBorder="1"/>
    <xf numFmtId="166" fontId="28" fillId="0" borderId="118" xfId="6" applyNumberFormat="1" applyFont="1" applyFill="1" applyBorder="1"/>
    <xf numFmtId="166" fontId="28" fillId="0" borderId="119" xfId="6" applyNumberFormat="1" applyFont="1" applyFill="1" applyBorder="1"/>
    <xf numFmtId="166" fontId="28" fillId="0" borderId="120" xfId="6" applyNumberFormat="1" applyFont="1" applyFill="1" applyBorder="1"/>
    <xf numFmtId="0" fontId="28" fillId="2" borderId="0" xfId="0" applyFont="1" applyFill="1"/>
    <xf numFmtId="166" fontId="34" fillId="3" borderId="121" xfId="0" applyNumberFormat="1" applyFont="1" applyFill="1" applyBorder="1"/>
    <xf numFmtId="166" fontId="28" fillId="0" borderId="38" xfId="5" applyNumberFormat="1" applyFont="1" applyFill="1" applyBorder="1"/>
    <xf numFmtId="166" fontId="28" fillId="0" borderId="122" xfId="5" applyNumberFormat="1" applyFont="1" applyFill="1" applyBorder="1"/>
    <xf numFmtId="166" fontId="28" fillId="0" borderId="39" xfId="5" applyNumberFormat="1" applyFont="1" applyFill="1" applyBorder="1"/>
    <xf numFmtId="166" fontId="28" fillId="0" borderId="0" xfId="5" applyNumberFormat="1" applyFont="1" applyFill="1"/>
    <xf numFmtId="44" fontId="36" fillId="0" borderId="13" xfId="6" applyFont="1" applyFill="1" applyBorder="1"/>
    <xf numFmtId="0" fontId="28" fillId="22" borderId="0" xfId="0" applyFont="1" applyFill="1"/>
    <xf numFmtId="164" fontId="39" fillId="0" borderId="0" xfId="5" applyNumberFormat="1" applyFont="1" applyFill="1" applyBorder="1"/>
    <xf numFmtId="0" fontId="28" fillId="0" borderId="0" xfId="1511" applyFont="1"/>
    <xf numFmtId="0" fontId="78" fillId="0" borderId="0" xfId="1511"/>
    <xf numFmtId="166" fontId="34" fillId="3" borderId="13" xfId="1511" applyNumberFormat="1" applyFont="1" applyFill="1" applyBorder="1"/>
    <xf numFmtId="166" fontId="34" fillId="3" borderId="12" xfId="1511" applyNumberFormat="1" applyFont="1" applyFill="1" applyBorder="1"/>
    <xf numFmtId="0" fontId="67" fillId="22" borderId="117" xfId="1511" applyFont="1" applyFill="1" applyBorder="1"/>
    <xf numFmtId="166" fontId="28" fillId="0" borderId="0" xfId="17" applyNumberFormat="1" applyFont="1" applyBorder="1"/>
    <xf numFmtId="0" fontId="71" fillId="0" borderId="0" xfId="1511" applyFont="1" applyAlignment="1">
      <alignment horizontal="right"/>
    </xf>
    <xf numFmtId="166" fontId="28" fillId="0" borderId="0" xfId="1511" applyNumberFormat="1" applyFont="1"/>
    <xf numFmtId="43" fontId="28" fillId="0" borderId="0" xfId="1511" applyNumberFormat="1" applyFont="1"/>
    <xf numFmtId="0" fontId="28" fillId="0" borderId="0" xfId="1511" applyFont="1" applyAlignment="1">
      <alignment horizontal="right"/>
    </xf>
    <xf numFmtId="0" fontId="69" fillId="0" borderId="0" xfId="1511" applyFont="1"/>
    <xf numFmtId="0" fontId="65" fillId="0" borderId="112" xfId="0" applyFont="1" applyBorder="1"/>
    <xf numFmtId="0" fontId="28" fillId="3" borderId="0" xfId="0" applyFont="1" applyFill="1"/>
    <xf numFmtId="166" fontId="28" fillId="3" borderId="0" xfId="6" applyNumberFormat="1" applyFont="1" applyFill="1" applyBorder="1"/>
    <xf numFmtId="166" fontId="28" fillId="3" borderId="0" xfId="0" applyNumberFormat="1" applyFont="1" applyFill="1"/>
    <xf numFmtId="166" fontId="28" fillId="3" borderId="34" xfId="6" applyNumberFormat="1" applyFont="1" applyFill="1" applyBorder="1"/>
    <xf numFmtId="166" fontId="28" fillId="3" borderId="32" xfId="6" applyNumberFormat="1" applyFont="1" applyFill="1" applyBorder="1"/>
    <xf numFmtId="166" fontId="28" fillId="3" borderId="33" xfId="6" applyNumberFormat="1" applyFont="1" applyFill="1" applyBorder="1"/>
    <xf numFmtId="0" fontId="18" fillId="3" borderId="0" xfId="0" applyFont="1" applyFill="1"/>
    <xf numFmtId="169" fontId="28" fillId="4" borderId="0" xfId="6" applyNumberFormat="1" applyFont="1" applyFill="1" applyBorder="1"/>
    <xf numFmtId="166" fontId="28" fillId="4" borderId="0" xfId="6" applyNumberFormat="1" applyFont="1" applyFill="1" applyBorder="1"/>
    <xf numFmtId="0" fontId="36" fillId="22" borderId="0" xfId="0" applyFont="1" applyFill="1"/>
    <xf numFmtId="0" fontId="0" fillId="3" borderId="0" xfId="0" applyFill="1"/>
    <xf numFmtId="171" fontId="77" fillId="3" borderId="0" xfId="0" applyNumberFormat="1" applyFont="1" applyFill="1"/>
    <xf numFmtId="166" fontId="28" fillId="4" borderId="0" xfId="0" applyNumberFormat="1" applyFont="1" applyFill="1"/>
    <xf numFmtId="166" fontId="28" fillId="4" borderId="0" xfId="5" applyNumberFormat="1" applyFont="1" applyFill="1" applyBorder="1"/>
    <xf numFmtId="7" fontId="28" fillId="3" borderId="0" xfId="4" applyNumberFormat="1" applyFont="1" applyFill="1" applyBorder="1"/>
    <xf numFmtId="44" fontId="28" fillId="3" borderId="0" xfId="9" applyFont="1" applyFill="1" applyBorder="1"/>
    <xf numFmtId="0" fontId="28" fillId="22" borderId="0" xfId="11" applyFont="1" applyFill="1"/>
    <xf numFmtId="166" fontId="28" fillId="24" borderId="0" xfId="7" applyNumberFormat="1" applyFont="1" applyFill="1" applyBorder="1"/>
    <xf numFmtId="166" fontId="28" fillId="24" borderId="0" xfId="9" applyNumberFormat="1" applyFont="1" applyFill="1" applyBorder="1"/>
    <xf numFmtId="166" fontId="28" fillId="3" borderId="0" xfId="5" applyNumberFormat="1" applyFont="1" applyFill="1" applyBorder="1"/>
    <xf numFmtId="0" fontId="26" fillId="3" borderId="0" xfId="0" applyFont="1" applyFill="1"/>
    <xf numFmtId="166" fontId="28" fillId="22" borderId="0" xfId="0" applyNumberFormat="1" applyFont="1" applyFill="1"/>
    <xf numFmtId="166" fontId="28" fillId="22" borderId="0" xfId="5" applyNumberFormat="1" applyFont="1" applyFill="1" applyBorder="1"/>
    <xf numFmtId="166" fontId="28" fillId="3" borderId="0" xfId="5" applyNumberFormat="1" applyFont="1" applyFill="1" applyBorder="1" applyAlignment="1">
      <alignment horizontal="left"/>
    </xf>
    <xf numFmtId="166" fontId="28" fillId="3" borderId="0" xfId="5" applyNumberFormat="1" applyFont="1" applyFill="1" applyBorder="1" applyAlignment="1">
      <alignment horizontal="right"/>
    </xf>
    <xf numFmtId="166" fontId="28" fillId="3" borderId="0" xfId="17" applyNumberFormat="1" applyFont="1" applyFill="1" applyBorder="1"/>
    <xf numFmtId="0" fontId="77" fillId="3" borderId="0" xfId="0" applyFont="1" applyFill="1"/>
    <xf numFmtId="0" fontId="75" fillId="3" borderId="0" xfId="0" applyFont="1" applyFill="1"/>
    <xf numFmtId="166" fontId="28" fillId="3" borderId="0" xfId="23" applyNumberFormat="1" applyFont="1" applyFill="1"/>
    <xf numFmtId="44" fontId="28" fillId="3" borderId="0" xfId="5" applyFont="1" applyFill="1" applyBorder="1"/>
    <xf numFmtId="44" fontId="28" fillId="3" borderId="0" xfId="5" applyFont="1" applyFill="1" applyBorder="1" applyAlignment="1"/>
    <xf numFmtId="44" fontId="28" fillId="3" borderId="0" xfId="0" applyNumberFormat="1" applyFont="1" applyFill="1"/>
    <xf numFmtId="166" fontId="39" fillId="3" borderId="0" xfId="5" applyNumberFormat="1" applyFont="1" applyFill="1" applyBorder="1"/>
    <xf numFmtId="166" fontId="39" fillId="3" borderId="32" xfId="5" applyNumberFormat="1" applyFont="1" applyFill="1" applyBorder="1"/>
    <xf numFmtId="166" fontId="39" fillId="3" borderId="33" xfId="5" applyNumberFormat="1" applyFont="1" applyFill="1" applyBorder="1"/>
    <xf numFmtId="166" fontId="28" fillId="3" borderId="40" xfId="5" applyNumberFormat="1" applyFont="1" applyFill="1" applyBorder="1"/>
    <xf numFmtId="166" fontId="28" fillId="3" borderId="123" xfId="5" applyNumberFormat="1" applyFont="1" applyFill="1" applyBorder="1"/>
    <xf numFmtId="43" fontId="28" fillId="22" borderId="0" xfId="0" applyNumberFormat="1" applyFont="1" applyFill="1"/>
    <xf numFmtId="0" fontId="28" fillId="3" borderId="0" xfId="1511" applyFont="1" applyFill="1"/>
    <xf numFmtId="166" fontId="28" fillId="3" borderId="0" xfId="1511" applyNumberFormat="1" applyFont="1" applyFill="1"/>
    <xf numFmtId="43" fontId="28" fillId="22" borderId="0" xfId="1511" applyNumberFormat="1" applyFont="1" applyFill="1"/>
    <xf numFmtId="0" fontId="82" fillId="0" borderId="0" xfId="0" applyFont="1"/>
    <xf numFmtId="0" fontId="83" fillId="22" borderId="0" xfId="0" applyFont="1" applyFill="1"/>
    <xf numFmtId="166" fontId="28" fillId="0" borderId="0" xfId="6" applyNumberFormat="1" applyFont="1" applyFill="1"/>
    <xf numFmtId="166" fontId="36" fillId="0" borderId="128" xfId="0" applyNumberFormat="1" applyFont="1" applyBorder="1"/>
    <xf numFmtId="166" fontId="63" fillId="0" borderId="0" xfId="5" applyNumberFormat="1" applyFont="1" applyFill="1" applyBorder="1"/>
    <xf numFmtId="44" fontId="37" fillId="0" borderId="0" xfId="7" applyFont="1" applyFill="1" applyBorder="1"/>
    <xf numFmtId="0" fontId="28" fillId="0" borderId="11" xfId="0" applyFont="1" applyBorder="1"/>
    <xf numFmtId="166" fontId="28" fillId="0" borderId="0" xfId="5" applyNumberFormat="1" applyFont="1" applyBorder="1"/>
    <xf numFmtId="0" fontId="28" fillId="0" borderId="0" xfId="0" applyFont="1" applyAlignment="1">
      <alignment horizontal="left"/>
    </xf>
    <xf numFmtId="8" fontId="28" fillId="0" borderId="0" xfId="0" applyNumberFormat="1" applyFont="1" applyAlignment="1">
      <alignment horizontal="right"/>
    </xf>
    <xf numFmtId="166" fontId="28" fillId="0" borderId="0" xfId="17" applyNumberFormat="1" applyFont="1" applyFill="1"/>
    <xf numFmtId="44" fontId="28" fillId="0" borderId="0" xfId="5" applyFont="1" applyFill="1" applyBorder="1" applyAlignment="1"/>
    <xf numFmtId="44" fontId="28" fillId="0" borderId="0" xfId="5" applyFont="1" applyFill="1" applyAlignment="1">
      <alignment horizontal="right"/>
    </xf>
    <xf numFmtId="0" fontId="28" fillId="0" borderId="23" xfId="0" applyFont="1" applyBorder="1"/>
    <xf numFmtId="168" fontId="0" fillId="0" borderId="0" xfId="0" applyNumberFormat="1"/>
    <xf numFmtId="44" fontId="18" fillId="0" borderId="0" xfId="0" applyNumberFormat="1" applyFont="1"/>
    <xf numFmtId="166" fontId="34" fillId="3" borderId="8" xfId="0" applyNumberFormat="1" applyFont="1" applyFill="1" applyBorder="1"/>
    <xf numFmtId="166" fontId="81" fillId="0" borderId="0" xfId="5" applyNumberFormat="1" applyFont="1" applyFill="1"/>
    <xf numFmtId="43" fontId="83" fillId="22" borderId="0" xfId="0" applyNumberFormat="1" applyFont="1" applyFill="1"/>
    <xf numFmtId="166" fontId="28" fillId="0" borderId="117" xfId="17" applyNumberFormat="1" applyFont="1" applyFill="1" applyBorder="1"/>
    <xf numFmtId="44" fontId="33" fillId="0" borderId="28" xfId="0" applyNumberFormat="1" applyFont="1" applyBorder="1"/>
    <xf numFmtId="44" fontId="34" fillId="3" borderId="13" xfId="0" applyNumberFormat="1" applyFont="1" applyFill="1" applyBorder="1"/>
    <xf numFmtId="44" fontId="81" fillId="0" borderId="0" xfId="5" applyFont="1" applyFill="1" applyBorder="1"/>
    <xf numFmtId="0" fontId="33" fillId="0" borderId="6" xfId="0" applyFont="1" applyBorder="1" applyAlignment="1">
      <alignment horizontal="right"/>
    </xf>
    <xf numFmtId="44" fontId="33" fillId="0" borderId="10" xfId="0" applyNumberFormat="1" applyFont="1" applyBorder="1"/>
    <xf numFmtId="44" fontId="34" fillId="3" borderId="37" xfId="5" applyFont="1" applyFill="1" applyBorder="1"/>
    <xf numFmtId="166" fontId="36" fillId="0" borderId="130" xfId="0" applyNumberFormat="1" applyFont="1" applyBorder="1"/>
    <xf numFmtId="44" fontId="36" fillId="0" borderId="128" xfId="0" applyNumberFormat="1" applyFont="1" applyBorder="1"/>
    <xf numFmtId="0" fontId="70" fillId="0" borderId="0" xfId="10" applyFont="1" applyAlignment="1">
      <alignment horizontal="right"/>
    </xf>
    <xf numFmtId="166" fontId="38" fillId="0" borderId="0" xfId="5" applyNumberFormat="1" applyFont="1" applyFill="1" applyBorder="1" applyAlignment="1">
      <alignment horizontal="right"/>
    </xf>
    <xf numFmtId="166" fontId="38" fillId="0" borderId="0" xfId="5" applyNumberFormat="1" applyFont="1" applyFill="1"/>
    <xf numFmtId="0" fontId="70" fillId="0" borderId="0" xfId="1511" applyFont="1" applyAlignment="1">
      <alignment horizontal="right"/>
    </xf>
    <xf numFmtId="0" fontId="85" fillId="0" borderId="0" xfId="0" applyFont="1"/>
    <xf numFmtId="166" fontId="85" fillId="0" borderId="0" xfId="0" applyNumberFormat="1" applyFont="1" applyAlignment="1">
      <alignment horizontal="right"/>
    </xf>
    <xf numFmtId="166" fontId="85" fillId="0" borderId="0" xfId="0" applyNumberFormat="1" applyFont="1"/>
    <xf numFmtId="166" fontId="70" fillId="0" borderId="0" xfId="0" applyNumberFormat="1" applyFont="1" applyAlignment="1">
      <alignment horizontal="right"/>
    </xf>
    <xf numFmtId="0" fontId="70" fillId="0" borderId="0" xfId="23" applyFont="1" applyAlignment="1">
      <alignment horizontal="right"/>
    </xf>
    <xf numFmtId="166" fontId="70" fillId="0" borderId="0" xfId="17" applyNumberFormat="1" applyFont="1" applyFill="1" applyBorder="1" applyAlignment="1">
      <alignment horizontal="right"/>
    </xf>
    <xf numFmtId="44" fontId="87" fillId="0" borderId="0" xfId="5" applyFont="1"/>
    <xf numFmtId="169" fontId="28" fillId="0" borderId="0" xfId="0" applyNumberFormat="1" applyFont="1"/>
    <xf numFmtId="166" fontId="28" fillId="0" borderId="0" xfId="6" applyNumberFormat="1" applyFont="1"/>
    <xf numFmtId="44" fontId="28" fillId="0" borderId="0" xfId="6" applyFont="1" applyBorder="1"/>
    <xf numFmtId="166" fontId="28" fillId="0" borderId="23" xfId="0" applyNumberFormat="1" applyFont="1" applyBorder="1"/>
    <xf numFmtId="0" fontId="88" fillId="0" borderId="0" xfId="0" applyFont="1"/>
    <xf numFmtId="166" fontId="88" fillId="0" borderId="0" xfId="5" applyNumberFormat="1" applyFont="1" applyFill="1" applyBorder="1"/>
    <xf numFmtId="166" fontId="88" fillId="0" borderId="0" xfId="5" applyNumberFormat="1" applyFont="1" applyFill="1"/>
    <xf numFmtId="0" fontId="68" fillId="21" borderId="0" xfId="0" applyFont="1" applyFill="1" applyAlignment="1">
      <alignment horizontal="center"/>
    </xf>
    <xf numFmtId="0" fontId="4" fillId="0" borderId="0" xfId="2239"/>
    <xf numFmtId="44" fontId="4" fillId="0" borderId="13" xfId="2239" applyNumberFormat="1" applyBorder="1"/>
    <xf numFmtId="44" fontId="4" fillId="0" borderId="128" xfId="2239" applyNumberFormat="1" applyBorder="1"/>
    <xf numFmtId="0" fontId="73" fillId="22" borderId="0" xfId="2239" applyFont="1" applyFill="1"/>
    <xf numFmtId="0" fontId="4" fillId="0" borderId="12" xfId="2239" applyBorder="1"/>
    <xf numFmtId="44" fontId="0" fillId="0" borderId="131" xfId="2240" applyFont="1" applyBorder="1"/>
    <xf numFmtId="0" fontId="91" fillId="0" borderId="131" xfId="2239" applyFont="1" applyBorder="1"/>
    <xf numFmtId="0" fontId="63" fillId="0" borderId="0" xfId="2239" applyFont="1"/>
    <xf numFmtId="0" fontId="94" fillId="0" borderId="0" xfId="2239" applyFont="1"/>
    <xf numFmtId="0" fontId="95" fillId="26" borderId="0" xfId="2239" applyFont="1" applyFill="1"/>
    <xf numFmtId="0" fontId="80" fillId="22" borderId="24" xfId="19" applyFont="1" applyFill="1" applyBorder="1"/>
    <xf numFmtId="0" fontId="91" fillId="0" borderId="0" xfId="2239" applyFont="1"/>
    <xf numFmtId="44" fontId="4" fillId="0" borderId="0" xfId="2239" applyNumberFormat="1"/>
    <xf numFmtId="0" fontId="18" fillId="0" borderId="0" xfId="23"/>
    <xf numFmtId="44" fontId="18" fillId="0" borderId="0" xfId="23" applyNumberFormat="1"/>
    <xf numFmtId="164" fontId="18" fillId="0" borderId="0" xfId="23" applyNumberFormat="1"/>
    <xf numFmtId="166" fontId="96" fillId="0" borderId="128" xfId="2243" applyFont="1" applyBorder="1"/>
    <xf numFmtId="166" fontId="74" fillId="3" borderId="13" xfId="23" applyNumberFormat="1" applyFont="1" applyFill="1" applyBorder="1"/>
    <xf numFmtId="166" fontId="74" fillId="3" borderId="12" xfId="23" applyNumberFormat="1" applyFont="1" applyFill="1" applyBorder="1"/>
    <xf numFmtId="166" fontId="28" fillId="0" borderId="134" xfId="2239" applyNumberFormat="1" applyFont="1" applyBorder="1"/>
    <xf numFmtId="166" fontId="28" fillId="0" borderId="0" xfId="2239" applyNumberFormat="1" applyFont="1"/>
    <xf numFmtId="0" fontId="18" fillId="0" borderId="0" xfId="2239" applyFont="1"/>
    <xf numFmtId="166" fontId="28" fillId="3" borderId="0" xfId="17" applyNumberFormat="1" applyFont="1" applyFill="1"/>
    <xf numFmtId="166" fontId="28" fillId="0" borderId="0" xfId="2243" applyFont="1" applyFill="1"/>
    <xf numFmtId="166" fontId="28" fillId="27" borderId="0" xfId="17" applyNumberFormat="1" applyFont="1" applyFill="1" applyBorder="1"/>
    <xf numFmtId="166" fontId="63" fillId="0" borderId="0" xfId="2243" applyFont="1" applyFill="1"/>
    <xf numFmtId="0" fontId="80" fillId="22" borderId="135" xfId="19" applyFont="1" applyFill="1" applyBorder="1"/>
    <xf numFmtId="0" fontId="80" fillId="22" borderId="25" xfId="19" applyFont="1" applyFill="1" applyBorder="1"/>
    <xf numFmtId="165" fontId="28" fillId="0" borderId="0" xfId="17" applyNumberFormat="1" applyFont="1" applyFill="1" applyBorder="1"/>
    <xf numFmtId="166" fontId="18" fillId="0" borderId="0" xfId="2243" applyFont="1"/>
    <xf numFmtId="166" fontId="74" fillId="3" borderId="12" xfId="2243" applyFont="1" applyFill="1" applyBorder="1"/>
    <xf numFmtId="166" fontId="74" fillId="3" borderId="37" xfId="23" applyNumberFormat="1" applyFont="1" applyFill="1" applyBorder="1"/>
    <xf numFmtId="166" fontId="0" fillId="0" borderId="0" xfId="2243" applyFont="1"/>
    <xf numFmtId="166" fontId="18" fillId="3" borderId="0" xfId="2243" applyFont="1" applyFill="1"/>
    <xf numFmtId="44" fontId="0" fillId="0" borderId="0" xfId="17" applyFont="1"/>
    <xf numFmtId="0" fontId="18" fillId="3" borderId="0" xfId="23" applyFill="1"/>
    <xf numFmtId="166" fontId="80" fillId="22" borderId="135" xfId="2243" applyFont="1" applyFill="1" applyBorder="1" applyAlignment="1"/>
    <xf numFmtId="0" fontId="85" fillId="0" borderId="0" xfId="23" applyFont="1"/>
    <xf numFmtId="0" fontId="80" fillId="22" borderId="0" xfId="19" applyFont="1" applyFill="1"/>
    <xf numFmtId="165" fontId="28" fillId="0" borderId="0" xfId="17" applyNumberFormat="1" applyFont="1" applyFill="1"/>
    <xf numFmtId="0" fontId="18" fillId="2" borderId="0" xfId="23" applyFill="1"/>
    <xf numFmtId="166" fontId="18" fillId="0" borderId="128" xfId="2243" applyFont="1" applyFill="1" applyBorder="1"/>
    <xf numFmtId="44" fontId="0" fillId="0" borderId="0" xfId="17" applyFont="1" applyFill="1"/>
    <xf numFmtId="49" fontId="80" fillId="0" borderId="24" xfId="19" applyNumberFormat="1" applyFont="1" applyBorder="1"/>
    <xf numFmtId="166" fontId="18" fillId="0" borderId="0" xfId="2243" applyFont="1" applyFill="1"/>
    <xf numFmtId="44" fontId="28" fillId="0" borderId="0" xfId="17" applyFont="1" applyFill="1" applyBorder="1"/>
    <xf numFmtId="166" fontId="74" fillId="3" borderId="132" xfId="23" applyNumberFormat="1" applyFont="1" applyFill="1" applyBorder="1"/>
    <xf numFmtId="166" fontId="28" fillId="0" borderId="0" xfId="17" applyNumberFormat="1" applyFont="1" applyFill="1" applyBorder="1" applyAlignment="1" applyProtection="1"/>
    <xf numFmtId="0" fontId="18" fillId="0" borderId="0" xfId="2244" applyFont="1"/>
    <xf numFmtId="0" fontId="18" fillId="3" borderId="0" xfId="2244" applyFont="1" applyFill="1"/>
    <xf numFmtId="43" fontId="18" fillId="0" borderId="0" xfId="2244" applyNumberFormat="1" applyFont="1"/>
    <xf numFmtId="0" fontId="18" fillId="0" borderId="0" xfId="2244" applyFont="1" applyAlignment="1">
      <alignment horizontal="center"/>
    </xf>
    <xf numFmtId="0" fontId="18" fillId="0" borderId="0" xfId="2244" applyFont="1" applyAlignment="1">
      <alignment horizontal="left"/>
    </xf>
    <xf numFmtId="171" fontId="77" fillId="0" borderId="0" xfId="2244" applyNumberFormat="1" applyFont="1"/>
    <xf numFmtId="171" fontId="77" fillId="3" borderId="0" xfId="2244" applyNumberFormat="1" applyFont="1" applyFill="1"/>
    <xf numFmtId="0" fontId="77" fillId="0" borderId="0" xfId="2244" applyFont="1"/>
    <xf numFmtId="7" fontId="18" fillId="0" borderId="0" xfId="2244" applyNumberFormat="1" applyFont="1"/>
    <xf numFmtId="0" fontId="37" fillId="0" borderId="0" xfId="2244" applyFont="1"/>
    <xf numFmtId="166" fontId="34" fillId="3" borderId="12" xfId="2244" applyNumberFormat="1" applyFont="1" applyFill="1" applyBorder="1"/>
    <xf numFmtId="0" fontId="28" fillId="0" borderId="0" xfId="2244" applyFont="1"/>
    <xf numFmtId="0" fontId="28" fillId="0" borderId="4" xfId="2244" applyFont="1" applyBorder="1"/>
    <xf numFmtId="44" fontId="37" fillId="0" borderId="0" xfId="2244" applyNumberFormat="1" applyFont="1"/>
    <xf numFmtId="0" fontId="37" fillId="0" borderId="0" xfId="2244" applyFont="1" applyAlignment="1">
      <alignment horizontal="right"/>
    </xf>
    <xf numFmtId="44" fontId="37" fillId="0" borderId="0" xfId="14" applyNumberFormat="1" applyFont="1" applyFill="1" applyBorder="1"/>
    <xf numFmtId="44" fontId="37" fillId="3" borderId="0" xfId="14" applyNumberFormat="1" applyFont="1" applyFill="1" applyBorder="1"/>
    <xf numFmtId="0" fontId="71" fillId="0" borderId="0" xfId="2244" applyFont="1" applyAlignment="1">
      <alignment horizontal="right"/>
    </xf>
    <xf numFmtId="166" fontId="37" fillId="0" borderId="0" xfId="2244" applyNumberFormat="1" applyFont="1"/>
    <xf numFmtId="0" fontId="28" fillId="22" borderId="0" xfId="2244" applyFont="1" applyFill="1"/>
    <xf numFmtId="166" fontId="28" fillId="0" borderId="0" xfId="2244" applyNumberFormat="1" applyFont="1"/>
    <xf numFmtId="166" fontId="28" fillId="3" borderId="0" xfId="2244" applyNumberFormat="1" applyFont="1" applyFill="1"/>
    <xf numFmtId="169" fontId="28" fillId="0" borderId="0" xfId="14" applyNumberFormat="1" applyFont="1" applyFill="1" applyBorder="1"/>
    <xf numFmtId="169" fontId="28" fillId="22" borderId="0" xfId="14" applyNumberFormat="1" applyFont="1" applyFill="1" applyBorder="1"/>
    <xf numFmtId="0" fontId="69" fillId="0" borderId="0" xfId="2244" applyFont="1"/>
    <xf numFmtId="166" fontId="34" fillId="0" borderId="7" xfId="0" applyNumberFormat="1" applyFont="1" applyBorder="1"/>
    <xf numFmtId="173" fontId="28" fillId="0" borderId="0" xfId="6" applyNumberFormat="1" applyFont="1" applyFill="1"/>
    <xf numFmtId="44" fontId="28" fillId="0" borderId="0" xfId="6" applyFont="1" applyFill="1"/>
    <xf numFmtId="166" fontId="88" fillId="0" borderId="0" xfId="6" applyNumberFormat="1" applyFont="1" applyFill="1" applyBorder="1"/>
    <xf numFmtId="166" fontId="88" fillId="4" borderId="0" xfId="6" applyNumberFormat="1" applyFont="1" applyFill="1" applyBorder="1"/>
    <xf numFmtId="0" fontId="88" fillId="0" borderId="0" xfId="0" applyFont="1" applyAlignment="1">
      <alignment horizontal="right"/>
    </xf>
    <xf numFmtId="166" fontId="28" fillId="25" borderId="0" xfId="6" applyNumberFormat="1" applyFont="1" applyFill="1" applyBorder="1"/>
    <xf numFmtId="44" fontId="28" fillId="0" borderId="0" xfId="5" applyFont="1" applyBorder="1"/>
    <xf numFmtId="0" fontId="19" fillId="0" borderId="0" xfId="10"/>
    <xf numFmtId="44" fontId="18" fillId="0" borderId="0" xfId="5" applyFill="1"/>
    <xf numFmtId="0" fontId="0" fillId="0" borderId="132" xfId="0" applyBorder="1"/>
    <xf numFmtId="0" fontId="0" fillId="0" borderId="137" xfId="0" applyBorder="1"/>
    <xf numFmtId="44" fontId="0" fillId="0" borderId="137" xfId="5" applyFont="1" applyBorder="1"/>
    <xf numFmtId="166" fontId="88" fillId="4" borderId="0" xfId="5" applyNumberFormat="1" applyFont="1" applyFill="1" applyBorder="1"/>
    <xf numFmtId="166" fontId="88" fillId="0" borderId="0" xfId="0" applyNumberFormat="1" applyFont="1"/>
    <xf numFmtId="166" fontId="88" fillId="3" borderId="0" xfId="0" applyNumberFormat="1" applyFont="1" applyFill="1"/>
    <xf numFmtId="44" fontId="88" fillId="0" borderId="0" xfId="0" applyNumberFormat="1" applyFont="1"/>
    <xf numFmtId="0" fontId="88" fillId="0" borderId="0" xfId="23" applyFont="1"/>
    <xf numFmtId="166" fontId="88" fillId="0" borderId="0" xfId="17" applyNumberFormat="1" applyFont="1" applyFill="1" applyBorder="1"/>
    <xf numFmtId="166" fontId="88" fillId="3" borderId="0" xfId="17" applyNumberFormat="1" applyFont="1" applyFill="1" applyBorder="1"/>
    <xf numFmtId="166" fontId="88" fillId="0" borderId="0" xfId="17" applyNumberFormat="1" applyFont="1" applyFill="1"/>
    <xf numFmtId="166" fontId="88" fillId="2" borderId="0" xfId="5" applyNumberFormat="1" applyFont="1" applyFill="1"/>
    <xf numFmtId="44" fontId="88" fillId="0" borderId="0" xfId="5" applyFont="1" applyFill="1"/>
    <xf numFmtId="9" fontId="18" fillId="0" borderId="0" xfId="2245" applyFont="1" applyFill="1" applyBorder="1"/>
    <xf numFmtId="9" fontId="0" fillId="0" borderId="0" xfId="2245" applyFont="1"/>
    <xf numFmtId="9" fontId="18" fillId="0" borderId="0" xfId="2245" applyFont="1"/>
    <xf numFmtId="44" fontId="88" fillId="0" borderId="0" xfId="5" applyFont="1" applyFill="1" applyBorder="1" applyAlignment="1">
      <alignment horizontal="left"/>
    </xf>
    <xf numFmtId="0" fontId="73" fillId="22" borderId="128" xfId="2239" applyFont="1" applyFill="1" applyBorder="1"/>
    <xf numFmtId="44" fontId="0" fillId="0" borderId="132" xfId="5" applyFont="1" applyBorder="1"/>
    <xf numFmtId="0" fontId="73" fillId="22" borderId="136" xfId="2239" applyFont="1" applyFill="1" applyBorder="1"/>
    <xf numFmtId="44" fontId="0" fillId="0" borderId="37" xfId="5" applyFont="1" applyBorder="1"/>
    <xf numFmtId="44" fontId="4" fillId="0" borderId="132" xfId="2239" applyNumberFormat="1" applyBorder="1"/>
    <xf numFmtId="0" fontId="28" fillId="0" borderId="132" xfId="0" applyFont="1" applyBorder="1"/>
    <xf numFmtId="0" fontId="28" fillId="0" borderId="137" xfId="0" applyFont="1" applyBorder="1"/>
    <xf numFmtId="0" fontId="91" fillId="0" borderId="131" xfId="2239" applyFont="1" applyBorder="1" applyAlignment="1">
      <alignment horizontal="right"/>
    </xf>
    <xf numFmtId="0" fontId="75" fillId="0" borderId="25" xfId="2239" applyFont="1" applyBorder="1"/>
    <xf numFmtId="0" fontId="0" fillId="0" borderId="0" xfId="0" applyAlignment="1">
      <alignment horizontal="right"/>
    </xf>
    <xf numFmtId="0" fontId="73" fillId="22" borderId="138" xfId="2239" applyFont="1" applyFill="1" applyBorder="1"/>
    <xf numFmtId="44" fontId="0" fillId="0" borderId="24" xfId="2240" applyFont="1" applyBorder="1"/>
    <xf numFmtId="44" fontId="4" fillId="30" borderId="0" xfId="2239" applyNumberFormat="1" applyFill="1"/>
    <xf numFmtId="0" fontId="74" fillId="29" borderId="0" xfId="2239" applyFont="1" applyFill="1"/>
    <xf numFmtId="9" fontId="74" fillId="29" borderId="0" xfId="2245" applyFont="1" applyFill="1"/>
    <xf numFmtId="0" fontId="103" fillId="0" borderId="0" xfId="2239" applyFont="1"/>
    <xf numFmtId="0" fontId="28" fillId="2" borderId="0" xfId="10" applyFont="1" applyFill="1"/>
    <xf numFmtId="0" fontId="104" fillId="0" borderId="0" xfId="2255" applyBorder="1"/>
    <xf numFmtId="0" fontId="96" fillId="0" borderId="0" xfId="0" applyFont="1"/>
    <xf numFmtId="44" fontId="34" fillId="3" borderId="121" xfId="5" applyFont="1" applyFill="1" applyBorder="1"/>
    <xf numFmtId="0" fontId="67" fillId="22" borderId="139" xfId="0" applyFont="1" applyFill="1" applyBorder="1"/>
    <xf numFmtId="166" fontId="34" fillId="3" borderId="7" xfId="0" applyNumberFormat="1" applyFont="1" applyFill="1" applyBorder="1"/>
    <xf numFmtId="0" fontId="28" fillId="0" borderId="136" xfId="0" applyFont="1" applyBorder="1"/>
    <xf numFmtId="166" fontId="28" fillId="0" borderId="12" xfId="0" applyNumberFormat="1" applyFont="1" applyBorder="1"/>
    <xf numFmtId="166" fontId="28" fillId="3" borderId="12" xfId="0" applyNumberFormat="1" applyFont="1" applyFill="1" applyBorder="1"/>
    <xf numFmtId="44" fontId="28" fillId="0" borderId="133" xfId="6" applyFont="1" applyBorder="1"/>
    <xf numFmtId="44" fontId="37" fillId="0" borderId="0" xfId="0" applyNumberFormat="1" applyFont="1"/>
    <xf numFmtId="0" fontId="37" fillId="0" borderId="0" xfId="0" applyFont="1"/>
    <xf numFmtId="44" fontId="37" fillId="3" borderId="0" xfId="0" applyNumberFormat="1" applyFont="1" applyFill="1"/>
    <xf numFmtId="44" fontId="37" fillId="0" borderId="0" xfId="1" applyNumberFormat="1" applyFont="1" applyFill="1" applyBorder="1"/>
    <xf numFmtId="44" fontId="37" fillId="0" borderId="0" xfId="5" applyFont="1" applyFill="1" applyBorder="1"/>
    <xf numFmtId="44" fontId="37" fillId="0" borderId="0" xfId="17" applyFont="1" applyFill="1" applyBorder="1"/>
    <xf numFmtId="44" fontId="63" fillId="0" borderId="0" xfId="0" applyNumberFormat="1" applyFont="1"/>
    <xf numFmtId="166" fontId="63" fillId="0" borderId="0" xfId="0" applyNumberFormat="1" applyFont="1"/>
    <xf numFmtId="44" fontId="34" fillId="3" borderId="13" xfId="5" applyFont="1" applyFill="1" applyBorder="1"/>
    <xf numFmtId="44" fontId="74" fillId="3" borderId="13" xfId="5" applyFont="1" applyFill="1" applyBorder="1"/>
    <xf numFmtId="44" fontId="88" fillId="0" borderId="0" xfId="5" applyFont="1" applyFill="1" applyBorder="1"/>
    <xf numFmtId="0" fontId="84" fillId="0" borderId="0" xfId="0" applyFont="1"/>
    <xf numFmtId="0" fontId="105" fillId="0" borderId="0" xfId="0" applyFont="1"/>
    <xf numFmtId="0" fontId="28" fillId="4" borderId="0" xfId="0" applyFont="1" applyFill="1"/>
    <xf numFmtId="166" fontId="34" fillId="23" borderId="13" xfId="0" applyNumberFormat="1" applyFont="1" applyFill="1" applyBorder="1"/>
    <xf numFmtId="166" fontId="88" fillId="23" borderId="0" xfId="0" applyNumberFormat="1" applyFont="1" applyFill="1"/>
    <xf numFmtId="166" fontId="28" fillId="23" borderId="0" xfId="17" applyNumberFormat="1" applyFont="1" applyFill="1" applyBorder="1"/>
    <xf numFmtId="166" fontId="28" fillId="0" borderId="23" xfId="17" applyNumberFormat="1" applyFont="1" applyFill="1" applyBorder="1"/>
    <xf numFmtId="166" fontId="28" fillId="0" borderId="29" xfId="17" applyNumberFormat="1" applyFont="1" applyFill="1" applyBorder="1"/>
    <xf numFmtId="166" fontId="28" fillId="23" borderId="33" xfId="17" applyNumberFormat="1" applyFont="1" applyFill="1" applyBorder="1"/>
    <xf numFmtId="166" fontId="28" fillId="0" borderId="38" xfId="17" applyNumberFormat="1" applyFont="1" applyFill="1" applyBorder="1"/>
    <xf numFmtId="166" fontId="28" fillId="0" borderId="40" xfId="17" applyNumberFormat="1" applyFont="1" applyFill="1" applyBorder="1"/>
    <xf numFmtId="166" fontId="28" fillId="0" borderId="112" xfId="17" applyNumberFormat="1" applyFont="1" applyFill="1" applyBorder="1"/>
    <xf numFmtId="166" fontId="28" fillId="0" borderId="141" xfId="17" applyNumberFormat="1" applyFont="1" applyFill="1" applyBorder="1"/>
    <xf numFmtId="0" fontId="28" fillId="0" borderId="36" xfId="0" applyFont="1" applyBorder="1"/>
    <xf numFmtId="166" fontId="28" fillId="0" borderId="30" xfId="17" applyNumberFormat="1" applyFont="1" applyFill="1" applyBorder="1"/>
    <xf numFmtId="166" fontId="28" fillId="0" borderId="39" xfId="17" applyNumberFormat="1" applyFont="1" applyFill="1" applyBorder="1"/>
    <xf numFmtId="166" fontId="28" fillId="0" borderId="142" xfId="17" applyNumberFormat="1" applyFont="1" applyFill="1" applyBorder="1"/>
    <xf numFmtId="166" fontId="28" fillId="0" borderId="143" xfId="17" applyNumberFormat="1" applyFont="1" applyFill="1" applyBorder="1"/>
    <xf numFmtId="166" fontId="28" fillId="0" borderId="144" xfId="17" applyNumberFormat="1" applyFont="1" applyFill="1" applyBorder="1"/>
    <xf numFmtId="171" fontId="77" fillId="23" borderId="0" xfId="0" applyNumberFormat="1" applyFont="1" applyFill="1"/>
    <xf numFmtId="166" fontId="28" fillId="0" borderId="34" xfId="17" applyNumberFormat="1" applyFont="1" applyFill="1" applyBorder="1"/>
    <xf numFmtId="166" fontId="106" fillId="0" borderId="0" xfId="0" applyNumberFormat="1" applyFont="1"/>
    <xf numFmtId="166" fontId="106" fillId="0" borderId="0" xfId="6" applyNumberFormat="1" applyFont="1" applyFill="1" applyBorder="1"/>
    <xf numFmtId="0" fontId="106" fillId="0" borderId="0" xfId="0" applyFont="1"/>
    <xf numFmtId="166" fontId="37" fillId="0" borderId="0" xfId="6" applyNumberFormat="1" applyFont="1" applyFill="1" applyBorder="1"/>
    <xf numFmtId="44" fontId="39" fillId="0" borderId="0" xfId="5" applyFont="1" applyFill="1" applyBorder="1"/>
    <xf numFmtId="44" fontId="28" fillId="2" borderId="0" xfId="5" applyFont="1" applyFill="1" applyBorder="1"/>
    <xf numFmtId="44" fontId="81" fillId="2" borderId="0" xfId="5" applyFont="1" applyFill="1" applyBorder="1"/>
    <xf numFmtId="44" fontId="101" fillId="0" borderId="0" xfId="0" applyNumberFormat="1" applyFont="1"/>
    <xf numFmtId="0" fontId="101" fillId="0" borderId="0" xfId="0" applyFont="1"/>
    <xf numFmtId="0" fontId="102" fillId="0" borderId="0" xfId="0" applyFont="1"/>
    <xf numFmtId="173" fontId="101" fillId="0" borderId="0" xfId="0" applyNumberFormat="1" applyFont="1" applyAlignment="1">
      <alignment horizontal="right"/>
    </xf>
    <xf numFmtId="173" fontId="101" fillId="0" borderId="0" xfId="0" applyNumberFormat="1" applyFont="1"/>
    <xf numFmtId="9" fontId="93" fillId="0" borderId="0" xfId="2245" applyFont="1"/>
    <xf numFmtId="0" fontId="93" fillId="0" borderId="0" xfId="0" applyFont="1"/>
    <xf numFmtId="0" fontId="91" fillId="0" borderId="0" xfId="2239" applyFont="1" applyAlignment="1">
      <alignment horizontal="center"/>
    </xf>
    <xf numFmtId="9" fontId="91" fillId="0" borderId="0" xfId="2245" applyFont="1" applyAlignment="1">
      <alignment horizontal="center"/>
    </xf>
    <xf numFmtId="44" fontId="91" fillId="0" borderId="0" xfId="2239" applyNumberFormat="1" applyFont="1"/>
    <xf numFmtId="44" fontId="18" fillId="3" borderId="0" xfId="5" applyFont="1" applyFill="1"/>
    <xf numFmtId="166" fontId="88" fillId="0" borderId="0" xfId="2239" applyNumberFormat="1" applyFont="1"/>
    <xf numFmtId="166" fontId="0" fillId="3" borderId="0" xfId="2243" applyFont="1" applyFill="1" applyBorder="1" applyAlignment="1"/>
    <xf numFmtId="44" fontId="18" fillId="3" borderId="0" xfId="5" applyFont="1" applyFill="1" applyBorder="1" applyAlignment="1"/>
    <xf numFmtId="166" fontId="0" fillId="0" borderId="0" xfId="2239" applyNumberFormat="1" applyFont="1"/>
    <xf numFmtId="0" fontId="107" fillId="0" borderId="0" xfId="2239" applyFont="1"/>
    <xf numFmtId="0" fontId="91" fillId="0" borderId="140" xfId="2239" applyFont="1" applyBorder="1"/>
    <xf numFmtId="44" fontId="4" fillId="0" borderId="140" xfId="2239" applyNumberFormat="1" applyBorder="1"/>
    <xf numFmtId="44" fontId="91" fillId="0" borderId="112" xfId="2239" applyNumberFormat="1" applyFont="1" applyBorder="1" applyAlignment="1">
      <alignment horizontal="left"/>
    </xf>
    <xf numFmtId="0" fontId="4" fillId="0" borderId="112" xfId="2239" applyBorder="1"/>
    <xf numFmtId="166" fontId="28" fillId="0" borderId="128" xfId="0" applyNumberFormat="1" applyFont="1" applyBorder="1"/>
    <xf numFmtId="166" fontId="18" fillId="0" borderId="0" xfId="0" applyNumberFormat="1" applyFont="1"/>
    <xf numFmtId="0" fontId="88" fillId="0" borderId="23" xfId="0" applyFont="1" applyBorder="1"/>
    <xf numFmtId="44" fontId="88" fillId="23" borderId="0" xfId="0" applyNumberFormat="1" applyFont="1" applyFill="1"/>
    <xf numFmtId="44" fontId="108" fillId="0" borderId="0" xfId="0" applyNumberFormat="1" applyFont="1"/>
    <xf numFmtId="166" fontId="108" fillId="0" borderId="0" xfId="0" applyNumberFormat="1" applyFont="1"/>
    <xf numFmtId="0" fontId="0" fillId="0" borderId="0" xfId="0" applyAlignment="1">
      <alignment horizontal="center"/>
    </xf>
    <xf numFmtId="44" fontId="88" fillId="0" borderId="0" xfId="6" applyFont="1" applyFill="1"/>
    <xf numFmtId="44" fontId="97" fillId="0" borderId="0" xfId="5" applyFont="1" applyFill="1" applyBorder="1"/>
    <xf numFmtId="44" fontId="0" fillId="0" borderId="140" xfId="0" applyNumberFormat="1" applyBorder="1"/>
    <xf numFmtId="0" fontId="96" fillId="0" borderId="135" xfId="0" applyFont="1" applyBorder="1"/>
    <xf numFmtId="0" fontId="0" fillId="0" borderId="135" xfId="0" applyBorder="1"/>
    <xf numFmtId="0" fontId="0" fillId="0" borderId="145" xfId="0" applyBorder="1"/>
    <xf numFmtId="0" fontId="18" fillId="0" borderId="135" xfId="0" applyFont="1" applyBorder="1"/>
    <xf numFmtId="44" fontId="88" fillId="0" borderId="12" xfId="0" applyNumberFormat="1" applyFont="1" applyBorder="1" applyAlignment="1">
      <alignment horizontal="left"/>
    </xf>
    <xf numFmtId="0" fontId="88" fillId="0" borderId="136" xfId="0" applyFont="1" applyBorder="1" applyAlignment="1">
      <alignment horizontal="right"/>
    </xf>
    <xf numFmtId="44" fontId="88" fillId="0" borderId="132" xfId="0" applyNumberFormat="1" applyFont="1" applyBorder="1" applyAlignment="1">
      <alignment horizontal="left"/>
    </xf>
    <xf numFmtId="44" fontId="88" fillId="0" borderId="137" xfId="0" applyNumberFormat="1" applyFont="1" applyBorder="1" applyAlignment="1">
      <alignment horizontal="left"/>
    </xf>
    <xf numFmtId="166" fontId="0" fillId="3" borderId="0" xfId="2243" applyFont="1" applyFill="1"/>
    <xf numFmtId="44" fontId="34" fillId="3" borderId="8" xfId="5" applyFont="1" applyFill="1" applyBorder="1"/>
    <xf numFmtId="0" fontId="28" fillId="0" borderId="0" xfId="0" applyFont="1" applyAlignment="1">
      <alignment horizontal="right" indent="1"/>
    </xf>
    <xf numFmtId="44" fontId="91" fillId="0" borderId="131" xfId="2239" applyNumberFormat="1" applyFont="1" applyBorder="1"/>
    <xf numFmtId="44" fontId="96" fillId="0" borderId="131" xfId="2240" applyFont="1" applyBorder="1"/>
    <xf numFmtId="0" fontId="109" fillId="0" borderId="0" xfId="2239" applyFont="1"/>
    <xf numFmtId="10" fontId="18" fillId="0" borderId="0" xfId="2245" applyNumberFormat="1" applyFont="1" applyFill="1" applyBorder="1"/>
    <xf numFmtId="9" fontId="28" fillId="0" borderId="0" xfId="2245" applyFont="1" applyFill="1" applyBorder="1"/>
    <xf numFmtId="173" fontId="102" fillId="0" borderId="0" xfId="0" applyNumberFormat="1" applyFont="1" applyAlignment="1">
      <alignment horizontal="right"/>
    </xf>
    <xf numFmtId="0" fontId="102" fillId="0" borderId="0" xfId="2239" applyFont="1"/>
    <xf numFmtId="0" fontId="99" fillId="0" borderId="0" xfId="2246" applyFill="1"/>
    <xf numFmtId="0" fontId="110" fillId="0" borderId="0" xfId="0" applyFont="1"/>
    <xf numFmtId="0" fontId="96" fillId="0" borderId="0" xfId="23" applyFont="1"/>
    <xf numFmtId="0" fontId="2" fillId="0" borderId="0" xfId="2239" applyFont="1"/>
    <xf numFmtId="166" fontId="2" fillId="0" borderId="0" xfId="2239" applyNumberFormat="1" applyFont="1"/>
    <xf numFmtId="166" fontId="28" fillId="0" borderId="0" xfId="17" applyNumberFormat="1" applyFont="1" applyFill="1" applyBorder="1" applyAlignment="1"/>
    <xf numFmtId="0" fontId="79" fillId="22" borderId="117" xfId="0" applyFont="1" applyFill="1" applyBorder="1" applyAlignment="1">
      <alignment horizontal="left"/>
    </xf>
    <xf numFmtId="166" fontId="28" fillId="4" borderId="117" xfId="6" applyNumberFormat="1" applyFont="1" applyFill="1" applyBorder="1"/>
    <xf numFmtId="166" fontId="28" fillId="2" borderId="117" xfId="6" applyNumberFormat="1" applyFont="1" applyFill="1" applyBorder="1"/>
    <xf numFmtId="166" fontId="81" fillId="4" borderId="117" xfId="6" applyNumberFormat="1" applyFont="1" applyFill="1" applyBorder="1"/>
    <xf numFmtId="166" fontId="28" fillId="0" borderId="138" xfId="0" applyNumberFormat="1" applyFont="1" applyBorder="1"/>
    <xf numFmtId="166" fontId="28" fillId="0" borderId="132" xfId="0" applyNumberFormat="1" applyFont="1" applyBorder="1"/>
    <xf numFmtId="166" fontId="28" fillId="0" borderId="137" xfId="0" applyNumberFormat="1" applyFont="1" applyBorder="1"/>
    <xf numFmtId="0" fontId="67" fillId="22" borderId="117" xfId="0" applyFont="1" applyFill="1" applyBorder="1"/>
    <xf numFmtId="0" fontId="28" fillId="0" borderId="138" xfId="0" applyFont="1" applyBorder="1"/>
    <xf numFmtId="0" fontId="80" fillId="22" borderId="117" xfId="0" applyFont="1" applyFill="1" applyBorder="1"/>
    <xf numFmtId="166" fontId="28" fillId="0" borderId="117" xfId="6" applyNumberFormat="1" applyFont="1" applyFill="1" applyBorder="1"/>
    <xf numFmtId="0" fontId="28" fillId="0" borderId="117" xfId="0" applyFont="1" applyBorder="1"/>
    <xf numFmtId="44" fontId="28" fillId="0" borderId="117" xfId="5" applyFont="1" applyBorder="1"/>
    <xf numFmtId="0" fontId="0" fillId="0" borderId="117" xfId="0" applyBorder="1"/>
    <xf numFmtId="173" fontId="28" fillId="0" borderId="0" xfId="5" applyNumberFormat="1" applyFont="1" applyFill="1"/>
    <xf numFmtId="0" fontId="35" fillId="0" borderId="112" xfId="0" applyFont="1" applyBorder="1"/>
    <xf numFmtId="169" fontId="28" fillId="22" borderId="112" xfId="1" applyNumberFormat="1" applyFont="1" applyFill="1" applyBorder="1"/>
    <xf numFmtId="0" fontId="28" fillId="0" borderId="146" xfId="0" applyFont="1" applyBorder="1"/>
    <xf numFmtId="166" fontId="28" fillId="3" borderId="23" xfId="0" applyNumberFormat="1" applyFont="1" applyFill="1" applyBorder="1"/>
    <xf numFmtId="166" fontId="81" fillId="0" borderId="0" xfId="0" applyNumberFormat="1" applyFont="1"/>
    <xf numFmtId="166" fontId="28" fillId="0" borderId="25" xfId="5" applyNumberFormat="1" applyFont="1" applyFill="1" applyBorder="1"/>
    <xf numFmtId="0" fontId="67" fillId="22" borderId="117" xfId="2244" applyFont="1" applyFill="1" applyBorder="1"/>
    <xf numFmtId="166" fontId="81" fillId="0" borderId="0" xfId="17" applyNumberFormat="1" applyFont="1" applyFill="1" applyBorder="1"/>
    <xf numFmtId="166" fontId="28" fillId="0" borderId="117" xfId="5" applyNumberFormat="1" applyFont="1" applyFill="1" applyBorder="1"/>
    <xf numFmtId="166" fontId="28" fillId="0" borderId="129" xfId="0" applyNumberFormat="1" applyFont="1" applyBorder="1"/>
    <xf numFmtId="166" fontId="28" fillId="2" borderId="0" xfId="9" applyNumberFormat="1" applyFont="1" applyFill="1" applyBorder="1"/>
    <xf numFmtId="166" fontId="28" fillId="0" borderId="0" xfId="18" applyNumberFormat="1" applyFont="1" applyFill="1" applyBorder="1"/>
    <xf numFmtId="171" fontId="28" fillId="0" borderId="0" xfId="5" applyNumberFormat="1" applyFont="1" applyFill="1" applyBorder="1" applyAlignment="1"/>
    <xf numFmtId="166" fontId="81" fillId="0" borderId="0" xfId="5" applyNumberFormat="1" applyFont="1" applyBorder="1"/>
    <xf numFmtId="166" fontId="28" fillId="2" borderId="0" xfId="5" applyNumberFormat="1" applyFont="1" applyFill="1" applyBorder="1"/>
    <xf numFmtId="166" fontId="28" fillId="2" borderId="0" xfId="0" applyNumberFormat="1" applyFont="1" applyFill="1"/>
    <xf numFmtId="166" fontId="28" fillId="3" borderId="0" xfId="0" applyNumberFormat="1" applyFont="1" applyFill="1" applyAlignment="1">
      <alignment horizontal="left"/>
    </xf>
    <xf numFmtId="44" fontId="28" fillId="0" borderId="0" xfId="5" applyFont="1" applyFill="1" applyAlignment="1">
      <alignment horizontal="left"/>
    </xf>
    <xf numFmtId="166" fontId="28" fillId="0" borderId="0" xfId="0" applyNumberFormat="1" applyFont="1" applyAlignment="1">
      <alignment horizontal="right"/>
    </xf>
    <xf numFmtId="166" fontId="28" fillId="3" borderId="0" xfId="0" applyNumberFormat="1" applyFont="1" applyFill="1" applyAlignment="1">
      <alignment horizontal="right"/>
    </xf>
    <xf numFmtId="166" fontId="28" fillId="2" borderId="0" xfId="17" applyNumberFormat="1" applyFont="1" applyFill="1"/>
    <xf numFmtId="166" fontId="28" fillId="2" borderId="0" xfId="5" applyNumberFormat="1" applyFont="1" applyFill="1"/>
    <xf numFmtId="0" fontId="73" fillId="22" borderId="117" xfId="0" applyFont="1" applyFill="1" applyBorder="1"/>
    <xf numFmtId="44" fontId="28" fillId="2" borderId="0" xfId="5" applyFont="1" applyFill="1"/>
    <xf numFmtId="44" fontId="81" fillId="0" borderId="0" xfId="5" applyFont="1" applyFill="1" applyBorder="1" applyAlignment="1"/>
    <xf numFmtId="166" fontId="28" fillId="2" borderId="0" xfId="6" applyNumberFormat="1" applyFont="1" applyFill="1" applyBorder="1"/>
    <xf numFmtId="0" fontId="81" fillId="0" borderId="0" xfId="0" applyFont="1"/>
    <xf numFmtId="0" fontId="28" fillId="22" borderId="112" xfId="0" applyFont="1" applyFill="1" applyBorder="1"/>
    <xf numFmtId="0" fontId="28" fillId="3" borderId="112" xfId="0" applyFont="1" applyFill="1" applyBorder="1"/>
    <xf numFmtId="44" fontId="28" fillId="0" borderId="112" xfId="6" applyFont="1" applyFill="1" applyBorder="1"/>
    <xf numFmtId="166" fontId="28" fillId="29" borderId="0" xfId="5" applyNumberFormat="1" applyFont="1" applyFill="1" applyBorder="1"/>
    <xf numFmtId="166" fontId="81" fillId="0" borderId="0" xfId="5" applyNumberFormat="1" applyFont="1" applyFill="1" applyBorder="1"/>
    <xf numFmtId="166" fontId="37" fillId="0" borderId="0" xfId="7" applyNumberFormat="1" applyFont="1" applyFill="1" applyBorder="1"/>
    <xf numFmtId="0" fontId="80" fillId="22" borderId="117" xfId="11" applyFont="1" applyFill="1" applyBorder="1"/>
    <xf numFmtId="166" fontId="37" fillId="0" borderId="0" xfId="9" applyNumberFormat="1" applyFont="1" applyFill="1" applyBorder="1"/>
    <xf numFmtId="166" fontId="37" fillId="0" borderId="117" xfId="9" applyNumberFormat="1" applyFont="1" applyFill="1" applyBorder="1"/>
    <xf numFmtId="0" fontId="92" fillId="22" borderId="117" xfId="2239" applyFont="1" applyFill="1" applyBorder="1"/>
    <xf numFmtId="0" fontId="4" fillId="0" borderId="117" xfId="2239" applyBorder="1"/>
    <xf numFmtId="44" fontId="0" fillId="0" borderId="117" xfId="2240" applyFont="1" applyBorder="1"/>
    <xf numFmtId="44" fontId="4" fillId="0" borderId="117" xfId="2239" applyNumberFormat="1" applyBorder="1"/>
    <xf numFmtId="0" fontId="2" fillId="0" borderId="117" xfId="2239" applyFont="1" applyBorder="1"/>
    <xf numFmtId="44" fontId="2" fillId="0" borderId="117" xfId="5" applyFont="1" applyBorder="1"/>
    <xf numFmtId="44" fontId="2" fillId="3" borderId="117" xfId="5" applyFont="1" applyFill="1" applyBorder="1"/>
    <xf numFmtId="8" fontId="2" fillId="0" borderId="117" xfId="5" applyNumberFormat="1" applyFont="1" applyBorder="1"/>
    <xf numFmtId="44" fontId="0" fillId="3" borderId="117" xfId="2240" applyFont="1" applyFill="1" applyBorder="1"/>
    <xf numFmtId="44" fontId="0" fillId="2" borderId="117" xfId="2240" applyFont="1" applyFill="1" applyBorder="1"/>
    <xf numFmtId="44" fontId="0" fillId="0" borderId="117" xfId="5" applyFont="1" applyFill="1" applyBorder="1"/>
    <xf numFmtId="0" fontId="2" fillId="0" borderId="24" xfId="2239" applyFont="1" applyBorder="1"/>
    <xf numFmtId="9" fontId="2" fillId="0" borderId="0" xfId="2245" applyFont="1"/>
    <xf numFmtId="0" fontId="2" fillId="0" borderId="131" xfId="2239" applyFont="1" applyBorder="1"/>
    <xf numFmtId="0" fontId="80" fillId="22" borderId="117" xfId="19" applyFont="1" applyFill="1" applyBorder="1" applyAlignment="1">
      <alignment wrapText="1"/>
    </xf>
    <xf numFmtId="0" fontId="80" fillId="22" borderId="117" xfId="19" applyFont="1" applyFill="1" applyBorder="1"/>
    <xf numFmtId="166" fontId="28" fillId="3" borderId="117" xfId="17" applyNumberFormat="1" applyFont="1" applyFill="1" applyBorder="1"/>
    <xf numFmtId="0" fontId="67" fillId="22" borderId="117" xfId="23" applyFont="1" applyFill="1" applyBorder="1"/>
    <xf numFmtId="0" fontId="80" fillId="0" borderId="117" xfId="19" applyFont="1" applyBorder="1" applyAlignment="1">
      <alignment wrapText="1"/>
    </xf>
    <xf numFmtId="44" fontId="18" fillId="0" borderId="0" xfId="5" applyFont="1" applyFill="1"/>
    <xf numFmtId="0" fontId="30" fillId="0" borderId="1" xfId="0" applyFont="1" applyBorder="1" applyAlignment="1">
      <alignment horizontal="center"/>
    </xf>
    <xf numFmtId="0" fontId="30" fillId="0" borderId="2" xfId="0" applyFont="1" applyBorder="1" applyAlignment="1">
      <alignment horizontal="center"/>
    </xf>
    <xf numFmtId="0" fontId="30" fillId="0" borderId="3" xfId="0" applyFont="1" applyBorder="1" applyAlignment="1">
      <alignment horizontal="center"/>
    </xf>
    <xf numFmtId="0" fontId="30" fillId="0" borderId="6" xfId="0" applyFont="1" applyBorder="1" applyAlignment="1">
      <alignment horizontal="center"/>
    </xf>
    <xf numFmtId="0" fontId="30" fillId="0" borderId="7" xfId="0" applyFont="1" applyBorder="1" applyAlignment="1">
      <alignment horizontal="center"/>
    </xf>
    <xf numFmtId="0" fontId="30" fillId="0" borderId="8" xfId="0" applyFont="1" applyBorder="1" applyAlignment="1">
      <alignment horizontal="center"/>
    </xf>
    <xf numFmtId="0" fontId="40" fillId="0" borderId="4" xfId="0" applyFont="1" applyBorder="1" applyAlignment="1">
      <alignment horizontal="center"/>
    </xf>
    <xf numFmtId="0" fontId="40" fillId="0" borderId="0" xfId="0" applyFont="1" applyAlignment="1">
      <alignment horizontal="center"/>
    </xf>
    <xf numFmtId="0" fontId="40" fillId="0" borderId="5" xfId="0" applyFont="1" applyBorder="1" applyAlignment="1">
      <alignment horizontal="center"/>
    </xf>
    <xf numFmtId="0" fontId="29" fillId="0" borderId="4" xfId="0" applyFont="1" applyBorder="1" applyAlignment="1">
      <alignment horizontal="center"/>
    </xf>
    <xf numFmtId="0" fontId="29" fillId="0" borderId="0" xfId="0" applyFont="1" applyAlignment="1">
      <alignment horizontal="center"/>
    </xf>
    <xf numFmtId="0" fontId="29" fillId="0" borderId="5" xfId="0" applyFont="1" applyBorder="1" applyAlignment="1">
      <alignment horizontal="center"/>
    </xf>
    <xf numFmtId="14" fontId="31" fillId="0" borderId="4" xfId="0" applyNumberFormat="1" applyFont="1" applyBorder="1" applyAlignment="1">
      <alignment horizontal="center"/>
    </xf>
    <xf numFmtId="14" fontId="31" fillId="0" borderId="0" xfId="0" applyNumberFormat="1" applyFont="1" applyAlignment="1">
      <alignment horizontal="center"/>
    </xf>
    <xf numFmtId="14" fontId="31" fillId="0" borderId="5" xfId="0" applyNumberFormat="1" applyFont="1" applyBorder="1" applyAlignment="1">
      <alignment horizontal="center"/>
    </xf>
    <xf numFmtId="170" fontId="32" fillId="0" borderId="4" xfId="0" applyNumberFormat="1" applyFont="1" applyBorder="1" applyAlignment="1">
      <alignment horizontal="center"/>
    </xf>
    <xf numFmtId="170" fontId="32" fillId="0" borderId="0" xfId="0" applyNumberFormat="1" applyFont="1" applyAlignment="1">
      <alignment horizontal="center"/>
    </xf>
    <xf numFmtId="170" fontId="32" fillId="0" borderId="5" xfId="0" applyNumberFormat="1" applyFont="1" applyBorder="1" applyAlignment="1">
      <alignment horizontal="center"/>
    </xf>
    <xf numFmtId="0" fontId="68" fillId="21" borderId="0" xfId="0" applyFont="1" applyFill="1" applyAlignment="1">
      <alignment horizontal="left"/>
    </xf>
    <xf numFmtId="0" fontId="69" fillId="0" borderId="0" xfId="0" applyFont="1" applyAlignment="1">
      <alignment horizontal="left"/>
    </xf>
    <xf numFmtId="0" fontId="28" fillId="0" borderId="0" xfId="0" applyFont="1" applyAlignment="1">
      <alignment horizontal="left"/>
    </xf>
    <xf numFmtId="0" fontId="68" fillId="21" borderId="0" xfId="2244" applyFont="1" applyFill="1" applyAlignment="1">
      <alignment horizontal="left"/>
    </xf>
    <xf numFmtId="0" fontId="68" fillId="21" borderId="0" xfId="1511" applyFont="1" applyFill="1" applyAlignment="1">
      <alignment horizontal="left"/>
    </xf>
    <xf numFmtId="0" fontId="34" fillId="0" borderId="0" xfId="0" applyFont="1" applyAlignment="1">
      <alignment horizontal="right"/>
    </xf>
    <xf numFmtId="0" fontId="28" fillId="0" borderId="0" xfId="0" applyFont="1" applyAlignment="1">
      <alignment horizontal="right"/>
    </xf>
    <xf numFmtId="166" fontId="81" fillId="4" borderId="147" xfId="6" applyNumberFormat="1" applyFont="1" applyFill="1" applyBorder="1"/>
    <xf numFmtId="166" fontId="28" fillId="0" borderId="147" xfId="6" applyNumberFormat="1" applyFont="1" applyFill="1" applyBorder="1"/>
    <xf numFmtId="166" fontId="28" fillId="0" borderId="147" xfId="17" applyNumberFormat="1" applyFont="1" applyFill="1" applyBorder="1"/>
    <xf numFmtId="0" fontId="72" fillId="0" borderId="0" xfId="1511" applyFont="1" applyAlignment="1"/>
    <xf numFmtId="0" fontId="72" fillId="0" borderId="0" xfId="0" applyFont="1" applyAlignment="1"/>
    <xf numFmtId="0" fontId="28" fillId="0" borderId="0" xfId="0" applyFont="1" applyAlignment="1"/>
    <xf numFmtId="0" fontId="4" fillId="0" borderId="147" xfId="2239" applyBorder="1"/>
    <xf numFmtId="44" fontId="0" fillId="0" borderId="147" xfId="2240" applyFont="1" applyBorder="1"/>
    <xf numFmtId="166" fontId="1" fillId="0" borderId="0" xfId="2239" applyNumberFormat="1" applyFont="1"/>
  </cellXfs>
  <cellStyles count="2256">
    <cellStyle name="20% - Accent1 2" xfId="46" xr:uid="{00000000-0005-0000-0000-000000000000}"/>
    <cellStyle name="20% - Accent2 2" xfId="47" xr:uid="{00000000-0005-0000-0000-000001000000}"/>
    <cellStyle name="20% - Accent3 2" xfId="48" xr:uid="{00000000-0005-0000-0000-000002000000}"/>
    <cellStyle name="20% - Accent4 2" xfId="49" xr:uid="{00000000-0005-0000-0000-000003000000}"/>
    <cellStyle name="20% - Accent5 2" xfId="50" xr:uid="{00000000-0005-0000-0000-000004000000}"/>
    <cellStyle name="20% - Accent6 2" xfId="51" xr:uid="{00000000-0005-0000-0000-000005000000}"/>
    <cellStyle name="40% - Accent1 2" xfId="52" xr:uid="{00000000-0005-0000-0000-000006000000}"/>
    <cellStyle name="40% - Accent2 2" xfId="53" xr:uid="{00000000-0005-0000-0000-000007000000}"/>
    <cellStyle name="40% - Accent3 2" xfId="54" xr:uid="{00000000-0005-0000-0000-000008000000}"/>
    <cellStyle name="40% - Accent4 2" xfId="55" xr:uid="{00000000-0005-0000-0000-000009000000}"/>
    <cellStyle name="40% - Accent5 2" xfId="56" xr:uid="{00000000-0005-0000-0000-00000A000000}"/>
    <cellStyle name="40% - Accent6 2" xfId="57" xr:uid="{00000000-0005-0000-0000-00000B000000}"/>
    <cellStyle name="60% - Accent1 2" xfId="58" xr:uid="{00000000-0005-0000-0000-00000C000000}"/>
    <cellStyle name="60% - Accent2 2" xfId="59" xr:uid="{00000000-0005-0000-0000-00000D000000}"/>
    <cellStyle name="60% - Accent3 2" xfId="60" xr:uid="{00000000-0005-0000-0000-00000E000000}"/>
    <cellStyle name="60% - Accent4 2" xfId="61" xr:uid="{00000000-0005-0000-0000-00000F000000}"/>
    <cellStyle name="60% - Accent5 2" xfId="62" xr:uid="{00000000-0005-0000-0000-000010000000}"/>
    <cellStyle name="60% - Accent6 2" xfId="63" xr:uid="{00000000-0005-0000-0000-000011000000}"/>
    <cellStyle name="Accent1 2" xfId="64" xr:uid="{00000000-0005-0000-0000-000012000000}"/>
    <cellStyle name="Accent2 2" xfId="65" xr:uid="{00000000-0005-0000-0000-000013000000}"/>
    <cellStyle name="Accent3 2" xfId="66" xr:uid="{00000000-0005-0000-0000-000014000000}"/>
    <cellStyle name="Accent4 2" xfId="67" xr:uid="{00000000-0005-0000-0000-000015000000}"/>
    <cellStyle name="Accent5 2" xfId="68" xr:uid="{00000000-0005-0000-0000-000016000000}"/>
    <cellStyle name="Accent6 2" xfId="69" xr:uid="{00000000-0005-0000-0000-000017000000}"/>
    <cellStyle name="Bad 2" xfId="70" xr:uid="{00000000-0005-0000-0000-000018000000}"/>
    <cellStyle name="Calculation 2" xfId="71" xr:uid="{00000000-0005-0000-0000-000019000000}"/>
    <cellStyle name="Calculation 2 10" xfId="285" xr:uid="{00000000-0005-0000-0000-00001A000000}"/>
    <cellStyle name="Calculation 2 10 2" xfId="1576" xr:uid="{00000000-0005-0000-0000-00001B000000}"/>
    <cellStyle name="Calculation 2 11" xfId="670" xr:uid="{00000000-0005-0000-0000-00001C000000}"/>
    <cellStyle name="Calculation 2 11 2" xfId="1757" xr:uid="{00000000-0005-0000-0000-00001D000000}"/>
    <cellStyle name="Calculation 2 12" xfId="862" xr:uid="{00000000-0005-0000-0000-00001E000000}"/>
    <cellStyle name="Calculation 2 12 2" xfId="1846" xr:uid="{00000000-0005-0000-0000-00001F000000}"/>
    <cellStyle name="Calculation 2 13" xfId="1048" xr:uid="{00000000-0005-0000-0000-000020000000}"/>
    <cellStyle name="Calculation 2 13 2" xfId="1938" xr:uid="{00000000-0005-0000-0000-000021000000}"/>
    <cellStyle name="Calculation 2 14" xfId="668" xr:uid="{00000000-0005-0000-0000-000022000000}"/>
    <cellStyle name="Calculation 2 14 2" xfId="1755" xr:uid="{00000000-0005-0000-0000-000023000000}"/>
    <cellStyle name="Calculation 2 15" xfId="1462" xr:uid="{00000000-0005-0000-0000-000024000000}"/>
    <cellStyle name="Calculation 2 15 2" xfId="2189" xr:uid="{00000000-0005-0000-0000-000025000000}"/>
    <cellStyle name="Calculation 2 16" xfId="1463" xr:uid="{00000000-0005-0000-0000-000026000000}"/>
    <cellStyle name="Calculation 2 16 2" xfId="2190" xr:uid="{00000000-0005-0000-0000-000027000000}"/>
    <cellStyle name="Calculation 2 17" xfId="1520" xr:uid="{00000000-0005-0000-0000-000028000000}"/>
    <cellStyle name="Calculation 2 2" xfId="417" xr:uid="{00000000-0005-0000-0000-000029000000}"/>
    <cellStyle name="Calculation 2 2 2" xfId="574" xr:uid="{00000000-0005-0000-0000-00002A000000}"/>
    <cellStyle name="Calculation 2 2 2 2" xfId="1708" xr:uid="{00000000-0005-0000-0000-00002B000000}"/>
    <cellStyle name="Calculation 2 2 3" xfId="818" xr:uid="{00000000-0005-0000-0000-00002C000000}"/>
    <cellStyle name="Calculation 2 2 3 2" xfId="1805" xr:uid="{00000000-0005-0000-0000-00002D000000}"/>
    <cellStyle name="Calculation 2 2 4" xfId="1004" xr:uid="{00000000-0005-0000-0000-00002E000000}"/>
    <cellStyle name="Calculation 2 2 4 2" xfId="1894" xr:uid="{00000000-0005-0000-0000-00002F000000}"/>
    <cellStyle name="Calculation 2 2 5" xfId="1188" xr:uid="{00000000-0005-0000-0000-000030000000}"/>
    <cellStyle name="Calculation 2 2 5 2" xfId="1989" xr:uid="{00000000-0005-0000-0000-000031000000}"/>
    <cellStyle name="Calculation 2 2 6" xfId="1350" xr:uid="{00000000-0005-0000-0000-000032000000}"/>
    <cellStyle name="Calculation 2 2 6 2" xfId="2079" xr:uid="{00000000-0005-0000-0000-000033000000}"/>
    <cellStyle name="Calculation 2 2 7" xfId="1623" xr:uid="{00000000-0005-0000-0000-000034000000}"/>
    <cellStyle name="Calculation 2 3" xfId="429" xr:uid="{00000000-0005-0000-0000-000035000000}"/>
    <cellStyle name="Calculation 2 3 2" xfId="584" xr:uid="{00000000-0005-0000-0000-000036000000}"/>
    <cellStyle name="Calculation 2 3 2 2" xfId="1718" xr:uid="{00000000-0005-0000-0000-000037000000}"/>
    <cellStyle name="Calculation 2 3 3" xfId="830" xr:uid="{00000000-0005-0000-0000-000038000000}"/>
    <cellStyle name="Calculation 2 3 3 2" xfId="1816" xr:uid="{00000000-0005-0000-0000-000039000000}"/>
    <cellStyle name="Calculation 2 3 4" xfId="1016" xr:uid="{00000000-0005-0000-0000-00003A000000}"/>
    <cellStyle name="Calculation 2 3 4 2" xfId="1906" xr:uid="{00000000-0005-0000-0000-00003B000000}"/>
    <cellStyle name="Calculation 2 3 5" xfId="1200" xr:uid="{00000000-0005-0000-0000-00003C000000}"/>
    <cellStyle name="Calculation 2 3 5 2" xfId="2000" xr:uid="{00000000-0005-0000-0000-00003D000000}"/>
    <cellStyle name="Calculation 2 3 6" xfId="1362" xr:uid="{00000000-0005-0000-0000-00003E000000}"/>
    <cellStyle name="Calculation 2 3 6 2" xfId="2091" xr:uid="{00000000-0005-0000-0000-00003F000000}"/>
    <cellStyle name="Calculation 2 3 7" xfId="1634" xr:uid="{00000000-0005-0000-0000-000040000000}"/>
    <cellStyle name="Calculation 2 4" xfId="434" xr:uid="{00000000-0005-0000-0000-000041000000}"/>
    <cellStyle name="Calculation 2 4 2" xfId="587" xr:uid="{00000000-0005-0000-0000-000042000000}"/>
    <cellStyle name="Calculation 2 4 2 2" xfId="1721" xr:uid="{00000000-0005-0000-0000-000043000000}"/>
    <cellStyle name="Calculation 2 4 3" xfId="834" xr:uid="{00000000-0005-0000-0000-000044000000}"/>
    <cellStyle name="Calculation 2 4 3 2" xfId="1819" xr:uid="{00000000-0005-0000-0000-000045000000}"/>
    <cellStyle name="Calculation 2 4 4" xfId="1021" xr:uid="{00000000-0005-0000-0000-000046000000}"/>
    <cellStyle name="Calculation 2 4 4 2" xfId="1911" xr:uid="{00000000-0005-0000-0000-000047000000}"/>
    <cellStyle name="Calculation 2 4 5" xfId="1205" xr:uid="{00000000-0005-0000-0000-000048000000}"/>
    <cellStyle name="Calculation 2 4 5 2" xfId="2005" xr:uid="{00000000-0005-0000-0000-000049000000}"/>
    <cellStyle name="Calculation 2 4 6" xfId="1367" xr:uid="{00000000-0005-0000-0000-00004A000000}"/>
    <cellStyle name="Calculation 2 4 6 2" xfId="2096" xr:uid="{00000000-0005-0000-0000-00004B000000}"/>
    <cellStyle name="Calculation 2 4 7" xfId="1639" xr:uid="{00000000-0005-0000-0000-00004C000000}"/>
    <cellStyle name="Calculation 2 5" xfId="460" xr:uid="{00000000-0005-0000-0000-00004D000000}"/>
    <cellStyle name="Calculation 2 5 2" xfId="613" xr:uid="{00000000-0005-0000-0000-00004E000000}"/>
    <cellStyle name="Calculation 2 5 2 2" xfId="1747" xr:uid="{00000000-0005-0000-0000-00004F000000}"/>
    <cellStyle name="Calculation 2 5 3" xfId="860" xr:uid="{00000000-0005-0000-0000-000050000000}"/>
    <cellStyle name="Calculation 2 5 3 2" xfId="1845" xr:uid="{00000000-0005-0000-0000-000051000000}"/>
    <cellStyle name="Calculation 2 5 4" xfId="1047" xr:uid="{00000000-0005-0000-0000-000052000000}"/>
    <cellStyle name="Calculation 2 5 4 2" xfId="1937" xr:uid="{00000000-0005-0000-0000-000053000000}"/>
    <cellStyle name="Calculation 2 5 5" xfId="1231" xr:uid="{00000000-0005-0000-0000-000054000000}"/>
    <cellStyle name="Calculation 2 5 5 2" xfId="2031" xr:uid="{00000000-0005-0000-0000-000055000000}"/>
    <cellStyle name="Calculation 2 5 6" xfId="1393" xr:uid="{00000000-0005-0000-0000-000056000000}"/>
    <cellStyle name="Calculation 2 5 6 2" xfId="2122" xr:uid="{00000000-0005-0000-0000-000057000000}"/>
    <cellStyle name="Calculation 2 5 7" xfId="1665" xr:uid="{00000000-0005-0000-0000-000058000000}"/>
    <cellStyle name="Calculation 2 6" xfId="428" xr:uid="{00000000-0005-0000-0000-000059000000}"/>
    <cellStyle name="Calculation 2 6 2" xfId="583" xr:uid="{00000000-0005-0000-0000-00005A000000}"/>
    <cellStyle name="Calculation 2 6 2 2" xfId="1717" xr:uid="{00000000-0005-0000-0000-00005B000000}"/>
    <cellStyle name="Calculation 2 6 3" xfId="829" xr:uid="{00000000-0005-0000-0000-00005C000000}"/>
    <cellStyle name="Calculation 2 6 3 2" xfId="1815" xr:uid="{00000000-0005-0000-0000-00005D000000}"/>
    <cellStyle name="Calculation 2 6 4" xfId="1015" xr:uid="{00000000-0005-0000-0000-00005E000000}"/>
    <cellStyle name="Calculation 2 6 4 2" xfId="1905" xr:uid="{00000000-0005-0000-0000-00005F000000}"/>
    <cellStyle name="Calculation 2 6 5" xfId="1199" xr:uid="{00000000-0005-0000-0000-000060000000}"/>
    <cellStyle name="Calculation 2 6 5 2" xfId="1999" xr:uid="{00000000-0005-0000-0000-000061000000}"/>
    <cellStyle name="Calculation 2 6 6" xfId="1361" xr:uid="{00000000-0005-0000-0000-000062000000}"/>
    <cellStyle name="Calculation 2 6 6 2" xfId="2090" xr:uid="{00000000-0005-0000-0000-000063000000}"/>
    <cellStyle name="Calculation 2 6 7" xfId="1633" xr:uid="{00000000-0005-0000-0000-000064000000}"/>
    <cellStyle name="Calculation 2 7" xfId="459" xr:uid="{00000000-0005-0000-0000-000065000000}"/>
    <cellStyle name="Calculation 2 7 2" xfId="612" xr:uid="{00000000-0005-0000-0000-000066000000}"/>
    <cellStyle name="Calculation 2 7 2 2" xfId="1746" xr:uid="{00000000-0005-0000-0000-000067000000}"/>
    <cellStyle name="Calculation 2 7 3" xfId="859" xr:uid="{00000000-0005-0000-0000-000068000000}"/>
    <cellStyle name="Calculation 2 7 3 2" xfId="1844" xr:uid="{00000000-0005-0000-0000-000069000000}"/>
    <cellStyle name="Calculation 2 7 4" xfId="1046" xr:uid="{00000000-0005-0000-0000-00006A000000}"/>
    <cellStyle name="Calculation 2 7 4 2" xfId="1936" xr:uid="{00000000-0005-0000-0000-00006B000000}"/>
    <cellStyle name="Calculation 2 7 5" xfId="1230" xr:uid="{00000000-0005-0000-0000-00006C000000}"/>
    <cellStyle name="Calculation 2 7 5 2" xfId="2030" xr:uid="{00000000-0005-0000-0000-00006D000000}"/>
    <cellStyle name="Calculation 2 7 6" xfId="1392" xr:uid="{00000000-0005-0000-0000-00006E000000}"/>
    <cellStyle name="Calculation 2 7 6 2" xfId="2121" xr:uid="{00000000-0005-0000-0000-00006F000000}"/>
    <cellStyle name="Calculation 2 7 7" xfId="1664" xr:uid="{00000000-0005-0000-0000-000070000000}"/>
    <cellStyle name="Calculation 2 8" xfId="457" xr:uid="{00000000-0005-0000-0000-000071000000}"/>
    <cellStyle name="Calculation 2 8 2" xfId="610" xr:uid="{00000000-0005-0000-0000-000072000000}"/>
    <cellStyle name="Calculation 2 8 2 2" xfId="1744" xr:uid="{00000000-0005-0000-0000-000073000000}"/>
    <cellStyle name="Calculation 2 8 3" xfId="857" xr:uid="{00000000-0005-0000-0000-000074000000}"/>
    <cellStyle name="Calculation 2 8 3 2" xfId="1842" xr:uid="{00000000-0005-0000-0000-000075000000}"/>
    <cellStyle name="Calculation 2 8 4" xfId="1044" xr:uid="{00000000-0005-0000-0000-000076000000}"/>
    <cellStyle name="Calculation 2 8 4 2" xfId="1934" xr:uid="{00000000-0005-0000-0000-000077000000}"/>
    <cellStyle name="Calculation 2 8 5" xfId="1228" xr:uid="{00000000-0005-0000-0000-000078000000}"/>
    <cellStyle name="Calculation 2 8 5 2" xfId="2028" xr:uid="{00000000-0005-0000-0000-000079000000}"/>
    <cellStyle name="Calculation 2 8 6" xfId="1390" xr:uid="{00000000-0005-0000-0000-00007A000000}"/>
    <cellStyle name="Calculation 2 8 6 2" xfId="2119" xr:uid="{00000000-0005-0000-0000-00007B000000}"/>
    <cellStyle name="Calculation 2 8 7" xfId="1662" xr:uid="{00000000-0005-0000-0000-00007C000000}"/>
    <cellStyle name="Calculation 2 9" xfId="424" xr:uid="{00000000-0005-0000-0000-00007D000000}"/>
    <cellStyle name="Calculation 2 9 2" xfId="580" xr:uid="{00000000-0005-0000-0000-00007E000000}"/>
    <cellStyle name="Calculation 2 9 2 2" xfId="1714" xr:uid="{00000000-0005-0000-0000-00007F000000}"/>
    <cellStyle name="Calculation 2 9 3" xfId="825" xr:uid="{00000000-0005-0000-0000-000080000000}"/>
    <cellStyle name="Calculation 2 9 3 2" xfId="1811" xr:uid="{00000000-0005-0000-0000-000081000000}"/>
    <cellStyle name="Calculation 2 9 4" xfId="1011" xr:uid="{00000000-0005-0000-0000-000082000000}"/>
    <cellStyle name="Calculation 2 9 4 2" xfId="1901" xr:uid="{00000000-0005-0000-0000-000083000000}"/>
    <cellStyle name="Calculation 2 9 5" xfId="1195" xr:uid="{00000000-0005-0000-0000-000084000000}"/>
    <cellStyle name="Calculation 2 9 5 2" xfId="1996" xr:uid="{00000000-0005-0000-0000-000085000000}"/>
    <cellStyle name="Calculation 2 9 6" xfId="1357" xr:uid="{00000000-0005-0000-0000-000086000000}"/>
    <cellStyle name="Calculation 2 9 6 2" xfId="2086" xr:uid="{00000000-0005-0000-0000-000087000000}"/>
    <cellStyle name="Calculation 2 9 7" xfId="1630" xr:uid="{00000000-0005-0000-0000-000088000000}"/>
    <cellStyle name="Check Cell 2" xfId="72" xr:uid="{00000000-0005-0000-0000-000089000000}"/>
    <cellStyle name="Comma" xfId="1" builtinId="3"/>
    <cellStyle name="Comma 10" xfId="233" xr:uid="{00000000-0005-0000-0000-00008B000000}"/>
    <cellStyle name="Comma 11" xfId="1396" xr:uid="{00000000-0005-0000-0000-00008C000000}"/>
    <cellStyle name="Comma 11 2" xfId="2125" xr:uid="{00000000-0005-0000-0000-00008D000000}"/>
    <cellStyle name="Comma 12" xfId="1398" xr:uid="{00000000-0005-0000-0000-00008E000000}"/>
    <cellStyle name="Comma 12 2" xfId="2127" xr:uid="{00000000-0005-0000-0000-00008F000000}"/>
    <cellStyle name="Comma 13" xfId="1400" xr:uid="{00000000-0005-0000-0000-000090000000}"/>
    <cellStyle name="Comma 13 2" xfId="2129" xr:uid="{00000000-0005-0000-0000-000091000000}"/>
    <cellStyle name="Comma 14" xfId="1402" xr:uid="{00000000-0005-0000-0000-000092000000}"/>
    <cellStyle name="Comma 14 2" xfId="2131" xr:uid="{00000000-0005-0000-0000-000093000000}"/>
    <cellStyle name="Comma 15" xfId="1513" xr:uid="{00000000-0005-0000-0000-000094000000}"/>
    <cellStyle name="Comma 2" xfId="2" xr:uid="{00000000-0005-0000-0000-000095000000}"/>
    <cellStyle name="Comma 2 2" xfId="14" xr:uid="{00000000-0005-0000-0000-000096000000}"/>
    <cellStyle name="Comma 2 2 2" xfId="35" xr:uid="{00000000-0005-0000-0000-000097000000}"/>
    <cellStyle name="Comma 2 2 2 10" xfId="832" xr:uid="{00000000-0005-0000-0000-000098000000}"/>
    <cellStyle name="Comma 2 2 2 11" xfId="660" xr:uid="{00000000-0005-0000-0000-000099000000}"/>
    <cellStyle name="Comma 2 2 2 12" xfId="647" xr:uid="{00000000-0005-0000-0000-00009A000000}"/>
    <cellStyle name="Comma 2 2 2 2" xfId="116" xr:uid="{00000000-0005-0000-0000-00009B000000}"/>
    <cellStyle name="Comma 2 2 2 2 2" xfId="322" xr:uid="{00000000-0005-0000-0000-00009C000000}"/>
    <cellStyle name="Comma 2 2 2 2 3" xfId="486" xr:uid="{00000000-0005-0000-0000-00009D000000}"/>
    <cellStyle name="Comma 2 2 2 2 4" xfId="712" xr:uid="{00000000-0005-0000-0000-00009E000000}"/>
    <cellStyle name="Comma 2 2 2 2 5" xfId="903" xr:uid="{00000000-0005-0000-0000-00009F000000}"/>
    <cellStyle name="Comma 2 2 2 2 6" xfId="1086" xr:uid="{00000000-0005-0000-0000-0000A0000000}"/>
    <cellStyle name="Comma 2 2 2 2 7" xfId="1262" xr:uid="{00000000-0005-0000-0000-0000A1000000}"/>
    <cellStyle name="Comma 2 2 2 3" xfId="137" xr:uid="{00000000-0005-0000-0000-0000A2000000}"/>
    <cellStyle name="Comma 2 2 2 3 2" xfId="341" xr:uid="{00000000-0005-0000-0000-0000A3000000}"/>
    <cellStyle name="Comma 2 2 2 3 3" xfId="503" xr:uid="{00000000-0005-0000-0000-0000A4000000}"/>
    <cellStyle name="Comma 2 2 2 3 4" xfId="731" xr:uid="{00000000-0005-0000-0000-0000A5000000}"/>
    <cellStyle name="Comma 2 2 2 3 5" xfId="922" xr:uid="{00000000-0005-0000-0000-0000A6000000}"/>
    <cellStyle name="Comma 2 2 2 3 6" xfId="1105" xr:uid="{00000000-0005-0000-0000-0000A7000000}"/>
    <cellStyle name="Comma 2 2 2 3 7" xfId="1279" xr:uid="{00000000-0005-0000-0000-0000A8000000}"/>
    <cellStyle name="Comma 2 2 2 4" xfId="158" xr:uid="{00000000-0005-0000-0000-0000A9000000}"/>
    <cellStyle name="Comma 2 2 2 4 2" xfId="360" xr:uid="{00000000-0005-0000-0000-0000AA000000}"/>
    <cellStyle name="Comma 2 2 2 4 3" xfId="520" xr:uid="{00000000-0005-0000-0000-0000AB000000}"/>
    <cellStyle name="Comma 2 2 2 4 4" xfId="751" xr:uid="{00000000-0005-0000-0000-0000AC000000}"/>
    <cellStyle name="Comma 2 2 2 4 5" xfId="941" xr:uid="{00000000-0005-0000-0000-0000AD000000}"/>
    <cellStyle name="Comma 2 2 2 4 6" xfId="1125" xr:uid="{00000000-0005-0000-0000-0000AE000000}"/>
    <cellStyle name="Comma 2 2 2 4 7" xfId="1296" xr:uid="{00000000-0005-0000-0000-0000AF000000}"/>
    <cellStyle name="Comma 2 2 2 5" xfId="179" xr:uid="{00000000-0005-0000-0000-0000B0000000}"/>
    <cellStyle name="Comma 2 2 2 5 2" xfId="379" xr:uid="{00000000-0005-0000-0000-0000B1000000}"/>
    <cellStyle name="Comma 2 2 2 5 3" xfId="537" xr:uid="{00000000-0005-0000-0000-0000B2000000}"/>
    <cellStyle name="Comma 2 2 2 5 4" xfId="771" xr:uid="{00000000-0005-0000-0000-0000B3000000}"/>
    <cellStyle name="Comma 2 2 2 5 5" xfId="960" xr:uid="{00000000-0005-0000-0000-0000B4000000}"/>
    <cellStyle name="Comma 2 2 2 5 6" xfId="1142" xr:uid="{00000000-0005-0000-0000-0000B5000000}"/>
    <cellStyle name="Comma 2 2 2 5 7" xfId="1313" xr:uid="{00000000-0005-0000-0000-0000B6000000}"/>
    <cellStyle name="Comma 2 2 2 6" xfId="200" xr:uid="{00000000-0005-0000-0000-0000B7000000}"/>
    <cellStyle name="Comma 2 2 2 6 2" xfId="397" xr:uid="{00000000-0005-0000-0000-0000B8000000}"/>
    <cellStyle name="Comma 2 2 2 6 3" xfId="554" xr:uid="{00000000-0005-0000-0000-0000B9000000}"/>
    <cellStyle name="Comma 2 2 2 6 4" xfId="791" xr:uid="{00000000-0005-0000-0000-0000BA000000}"/>
    <cellStyle name="Comma 2 2 2 6 5" xfId="979" xr:uid="{00000000-0005-0000-0000-0000BB000000}"/>
    <cellStyle name="Comma 2 2 2 6 6" xfId="1162" xr:uid="{00000000-0005-0000-0000-0000BC000000}"/>
    <cellStyle name="Comma 2 2 2 6 7" xfId="1330" xr:uid="{00000000-0005-0000-0000-0000BD000000}"/>
    <cellStyle name="Comma 2 2 2 7" xfId="259" xr:uid="{00000000-0005-0000-0000-0000BE000000}"/>
    <cellStyle name="Comma 2 2 2 8" xfId="276" xr:uid="{00000000-0005-0000-0000-0000BF000000}"/>
    <cellStyle name="Comma 2 2 2 9" xfId="649" xr:uid="{00000000-0005-0000-0000-0000C0000000}"/>
    <cellStyle name="Comma 2 2 3" xfId="242" xr:uid="{00000000-0005-0000-0000-0000C1000000}"/>
    <cellStyle name="Comma 2 2 4" xfId="291" xr:uid="{00000000-0005-0000-0000-0000C2000000}"/>
    <cellStyle name="Comma 2 2 5" xfId="629" xr:uid="{00000000-0005-0000-0000-0000C3000000}"/>
    <cellStyle name="Comma 2 2 6" xfId="790" xr:uid="{00000000-0005-0000-0000-0000C4000000}"/>
    <cellStyle name="Comma 2 2 7" xfId="965" xr:uid="{00000000-0005-0000-0000-0000C5000000}"/>
    <cellStyle name="Comma 2 2 8" xfId="804" xr:uid="{00000000-0005-0000-0000-0000C6000000}"/>
    <cellStyle name="Comma 2 3" xfId="26" xr:uid="{00000000-0005-0000-0000-0000C7000000}"/>
    <cellStyle name="Comma 2 3 10" xfId="634" xr:uid="{00000000-0005-0000-0000-0000C8000000}"/>
    <cellStyle name="Comma 2 3 11" xfId="869" xr:uid="{00000000-0005-0000-0000-0000C9000000}"/>
    <cellStyle name="Comma 2 3 12" xfId="1103" xr:uid="{00000000-0005-0000-0000-0000CA000000}"/>
    <cellStyle name="Comma 2 3 2" xfId="107" xr:uid="{00000000-0005-0000-0000-0000CB000000}"/>
    <cellStyle name="Comma 2 3 2 2" xfId="314" xr:uid="{00000000-0005-0000-0000-0000CC000000}"/>
    <cellStyle name="Comma 2 3 2 3" xfId="479" xr:uid="{00000000-0005-0000-0000-0000CD000000}"/>
    <cellStyle name="Comma 2 3 2 4" xfId="703" xr:uid="{00000000-0005-0000-0000-0000CE000000}"/>
    <cellStyle name="Comma 2 3 2 5" xfId="895" xr:uid="{00000000-0005-0000-0000-0000CF000000}"/>
    <cellStyle name="Comma 2 3 2 6" xfId="1077" xr:uid="{00000000-0005-0000-0000-0000D0000000}"/>
    <cellStyle name="Comma 2 3 2 7" xfId="1255" xr:uid="{00000000-0005-0000-0000-0000D1000000}"/>
    <cellStyle name="Comma 2 3 3" xfId="128" xr:uid="{00000000-0005-0000-0000-0000D2000000}"/>
    <cellStyle name="Comma 2 3 3 2" xfId="333" xr:uid="{00000000-0005-0000-0000-0000D3000000}"/>
    <cellStyle name="Comma 2 3 3 3" xfId="496" xr:uid="{00000000-0005-0000-0000-0000D4000000}"/>
    <cellStyle name="Comma 2 3 3 4" xfId="723" xr:uid="{00000000-0005-0000-0000-0000D5000000}"/>
    <cellStyle name="Comma 2 3 3 5" xfId="914" xr:uid="{00000000-0005-0000-0000-0000D6000000}"/>
    <cellStyle name="Comma 2 3 3 6" xfId="1096" xr:uid="{00000000-0005-0000-0000-0000D7000000}"/>
    <cellStyle name="Comma 2 3 3 7" xfId="1272" xr:uid="{00000000-0005-0000-0000-0000D8000000}"/>
    <cellStyle name="Comma 2 3 4" xfId="149" xr:uid="{00000000-0005-0000-0000-0000D9000000}"/>
    <cellStyle name="Comma 2 3 4 2" xfId="352" xr:uid="{00000000-0005-0000-0000-0000DA000000}"/>
    <cellStyle name="Comma 2 3 4 3" xfId="513" xr:uid="{00000000-0005-0000-0000-0000DB000000}"/>
    <cellStyle name="Comma 2 3 4 4" xfId="743" xr:uid="{00000000-0005-0000-0000-0000DC000000}"/>
    <cellStyle name="Comma 2 3 4 5" xfId="933" xr:uid="{00000000-0005-0000-0000-0000DD000000}"/>
    <cellStyle name="Comma 2 3 4 6" xfId="1116" xr:uid="{00000000-0005-0000-0000-0000DE000000}"/>
    <cellStyle name="Comma 2 3 4 7" xfId="1289" xr:uid="{00000000-0005-0000-0000-0000DF000000}"/>
    <cellStyle name="Comma 2 3 5" xfId="170" xr:uid="{00000000-0005-0000-0000-0000E0000000}"/>
    <cellStyle name="Comma 2 3 5 2" xfId="371" xr:uid="{00000000-0005-0000-0000-0000E1000000}"/>
    <cellStyle name="Comma 2 3 5 3" xfId="530" xr:uid="{00000000-0005-0000-0000-0000E2000000}"/>
    <cellStyle name="Comma 2 3 5 4" xfId="763" xr:uid="{00000000-0005-0000-0000-0000E3000000}"/>
    <cellStyle name="Comma 2 3 5 5" xfId="952" xr:uid="{00000000-0005-0000-0000-0000E4000000}"/>
    <cellStyle name="Comma 2 3 5 6" xfId="1135" xr:uid="{00000000-0005-0000-0000-0000E5000000}"/>
    <cellStyle name="Comma 2 3 5 7" xfId="1306" xr:uid="{00000000-0005-0000-0000-0000E6000000}"/>
    <cellStyle name="Comma 2 3 6" xfId="191" xr:uid="{00000000-0005-0000-0000-0000E7000000}"/>
    <cellStyle name="Comma 2 3 6 2" xfId="390" xr:uid="{00000000-0005-0000-0000-0000E8000000}"/>
    <cellStyle name="Comma 2 3 6 3" xfId="547" xr:uid="{00000000-0005-0000-0000-0000E9000000}"/>
    <cellStyle name="Comma 2 3 6 4" xfId="783" xr:uid="{00000000-0005-0000-0000-0000EA000000}"/>
    <cellStyle name="Comma 2 3 6 5" xfId="971" xr:uid="{00000000-0005-0000-0000-0000EB000000}"/>
    <cellStyle name="Comma 2 3 6 6" xfId="1154" xr:uid="{00000000-0005-0000-0000-0000EC000000}"/>
    <cellStyle name="Comma 2 3 6 7" xfId="1323" xr:uid="{00000000-0005-0000-0000-0000ED000000}"/>
    <cellStyle name="Comma 2 3 7" xfId="251" xr:uid="{00000000-0005-0000-0000-0000EE000000}"/>
    <cellStyle name="Comma 2 3 8" xfId="282" xr:uid="{00000000-0005-0000-0000-0000EF000000}"/>
    <cellStyle name="Comma 2 3 9" xfId="640" xr:uid="{00000000-0005-0000-0000-0000F0000000}"/>
    <cellStyle name="Comma 2 4" xfId="234" xr:uid="{00000000-0005-0000-0000-0000F1000000}"/>
    <cellStyle name="Comma 2 5" xfId="384" xr:uid="{00000000-0005-0000-0000-0000F2000000}"/>
    <cellStyle name="Comma 2 6" xfId="621" xr:uid="{00000000-0005-0000-0000-0000F3000000}"/>
    <cellStyle name="Comma 2 7" xfId="655" xr:uid="{00000000-0005-0000-0000-0000F4000000}"/>
    <cellStyle name="Comma 2 8" xfId="671" xr:uid="{00000000-0005-0000-0000-0000F5000000}"/>
    <cellStyle name="Comma 2 9" xfId="1124" xr:uid="{00000000-0005-0000-0000-0000F6000000}"/>
    <cellStyle name="Comma 3" xfId="3" xr:uid="{00000000-0005-0000-0000-0000F7000000}"/>
    <cellStyle name="Comma 3 2" xfId="21" xr:uid="{00000000-0005-0000-0000-0000F8000000}"/>
    <cellStyle name="Comma 3 2 2" xfId="248" xr:uid="{00000000-0005-0000-0000-0000F9000000}"/>
    <cellStyle name="Comma 3 2 3" xfId="286" xr:uid="{00000000-0005-0000-0000-0000FA000000}"/>
    <cellStyle name="Comma 3 2 4" xfId="636" xr:uid="{00000000-0005-0000-0000-0000FB000000}"/>
    <cellStyle name="Comma 3 2 5" xfId="776" xr:uid="{00000000-0005-0000-0000-0000FC000000}"/>
    <cellStyle name="Comma 3 2 6" xfId="736" xr:uid="{00000000-0005-0000-0000-0000FD000000}"/>
    <cellStyle name="Comma 3 2 7" xfId="876" xr:uid="{00000000-0005-0000-0000-0000FE000000}"/>
    <cellStyle name="Comma 3 3" xfId="235" xr:uid="{00000000-0005-0000-0000-0000FF000000}"/>
    <cellStyle name="Comma 3 4" xfId="365" xr:uid="{00000000-0005-0000-0000-000000010000}"/>
    <cellStyle name="Comma 3 5" xfId="622" xr:uid="{00000000-0005-0000-0000-000001010000}"/>
    <cellStyle name="Comma 3 6" xfId="635" xr:uid="{00000000-0005-0000-0000-000002010000}"/>
    <cellStyle name="Comma 3 7" xfId="680" xr:uid="{00000000-0005-0000-0000-000003010000}"/>
    <cellStyle name="Comma 3 8" xfId="1104" xr:uid="{00000000-0005-0000-0000-000004010000}"/>
    <cellStyle name="Comma 4" xfId="4" xr:uid="{00000000-0005-0000-0000-000005010000}"/>
    <cellStyle name="Comma 4 2" xfId="15" xr:uid="{00000000-0005-0000-0000-000006010000}"/>
    <cellStyle name="Comma 4 2 2" xfId="36" xr:uid="{00000000-0005-0000-0000-000007010000}"/>
    <cellStyle name="Comma 4 2 2 10" xfId="819" xr:uid="{00000000-0005-0000-0000-000008010000}"/>
    <cellStyle name="Comma 4 2 2 11" xfId="661" xr:uid="{00000000-0005-0000-0000-000009010000}"/>
    <cellStyle name="Comma 4 2 2 12" xfId="921" xr:uid="{00000000-0005-0000-0000-00000A010000}"/>
    <cellStyle name="Comma 4 2 2 2" xfId="117" xr:uid="{00000000-0005-0000-0000-00000B010000}"/>
    <cellStyle name="Comma 4 2 2 2 2" xfId="323" xr:uid="{00000000-0005-0000-0000-00000C010000}"/>
    <cellStyle name="Comma 4 2 2 2 3" xfId="487" xr:uid="{00000000-0005-0000-0000-00000D010000}"/>
    <cellStyle name="Comma 4 2 2 2 4" xfId="713" xr:uid="{00000000-0005-0000-0000-00000E010000}"/>
    <cellStyle name="Comma 4 2 2 2 5" xfId="904" xr:uid="{00000000-0005-0000-0000-00000F010000}"/>
    <cellStyle name="Comma 4 2 2 2 6" xfId="1087" xr:uid="{00000000-0005-0000-0000-000010010000}"/>
    <cellStyle name="Comma 4 2 2 2 7" xfId="1263" xr:uid="{00000000-0005-0000-0000-000011010000}"/>
    <cellStyle name="Comma 4 2 2 3" xfId="138" xr:uid="{00000000-0005-0000-0000-000012010000}"/>
    <cellStyle name="Comma 4 2 2 3 2" xfId="342" xr:uid="{00000000-0005-0000-0000-000013010000}"/>
    <cellStyle name="Comma 4 2 2 3 3" xfId="504" xr:uid="{00000000-0005-0000-0000-000014010000}"/>
    <cellStyle name="Comma 4 2 2 3 4" xfId="732" xr:uid="{00000000-0005-0000-0000-000015010000}"/>
    <cellStyle name="Comma 4 2 2 3 5" xfId="923" xr:uid="{00000000-0005-0000-0000-000016010000}"/>
    <cellStyle name="Comma 4 2 2 3 6" xfId="1106" xr:uid="{00000000-0005-0000-0000-000017010000}"/>
    <cellStyle name="Comma 4 2 2 3 7" xfId="1280" xr:uid="{00000000-0005-0000-0000-000018010000}"/>
    <cellStyle name="Comma 4 2 2 4" xfId="159" xr:uid="{00000000-0005-0000-0000-000019010000}"/>
    <cellStyle name="Comma 4 2 2 4 2" xfId="361" xr:uid="{00000000-0005-0000-0000-00001A010000}"/>
    <cellStyle name="Comma 4 2 2 4 3" xfId="521" xr:uid="{00000000-0005-0000-0000-00001B010000}"/>
    <cellStyle name="Comma 4 2 2 4 4" xfId="752" xr:uid="{00000000-0005-0000-0000-00001C010000}"/>
    <cellStyle name="Comma 4 2 2 4 5" xfId="942" xr:uid="{00000000-0005-0000-0000-00001D010000}"/>
    <cellStyle name="Comma 4 2 2 4 6" xfId="1126" xr:uid="{00000000-0005-0000-0000-00001E010000}"/>
    <cellStyle name="Comma 4 2 2 4 7" xfId="1297" xr:uid="{00000000-0005-0000-0000-00001F010000}"/>
    <cellStyle name="Comma 4 2 2 5" xfId="180" xr:uid="{00000000-0005-0000-0000-000020010000}"/>
    <cellStyle name="Comma 4 2 2 5 2" xfId="380" xr:uid="{00000000-0005-0000-0000-000021010000}"/>
    <cellStyle name="Comma 4 2 2 5 3" xfId="538" xr:uid="{00000000-0005-0000-0000-000022010000}"/>
    <cellStyle name="Comma 4 2 2 5 4" xfId="772" xr:uid="{00000000-0005-0000-0000-000023010000}"/>
    <cellStyle name="Comma 4 2 2 5 5" xfId="961" xr:uid="{00000000-0005-0000-0000-000024010000}"/>
    <cellStyle name="Comma 4 2 2 5 6" xfId="1143" xr:uid="{00000000-0005-0000-0000-000025010000}"/>
    <cellStyle name="Comma 4 2 2 5 7" xfId="1314" xr:uid="{00000000-0005-0000-0000-000026010000}"/>
    <cellStyle name="Comma 4 2 2 6" xfId="201" xr:uid="{00000000-0005-0000-0000-000027010000}"/>
    <cellStyle name="Comma 4 2 2 6 2" xfId="398" xr:uid="{00000000-0005-0000-0000-000028010000}"/>
    <cellStyle name="Comma 4 2 2 6 3" xfId="555" xr:uid="{00000000-0005-0000-0000-000029010000}"/>
    <cellStyle name="Comma 4 2 2 6 4" xfId="792" xr:uid="{00000000-0005-0000-0000-00002A010000}"/>
    <cellStyle name="Comma 4 2 2 6 5" xfId="980" xr:uid="{00000000-0005-0000-0000-00002B010000}"/>
    <cellStyle name="Comma 4 2 2 6 6" xfId="1163" xr:uid="{00000000-0005-0000-0000-00002C010000}"/>
    <cellStyle name="Comma 4 2 2 6 7" xfId="1331" xr:uid="{00000000-0005-0000-0000-00002D010000}"/>
    <cellStyle name="Comma 4 2 2 7" xfId="260" xr:uid="{00000000-0005-0000-0000-00002E010000}"/>
    <cellStyle name="Comma 4 2 2 8" xfId="275" xr:uid="{00000000-0005-0000-0000-00002F010000}"/>
    <cellStyle name="Comma 4 2 2 9" xfId="650" xr:uid="{00000000-0005-0000-0000-000030010000}"/>
    <cellStyle name="Comma 4 2 3" xfId="243" xr:uid="{00000000-0005-0000-0000-000031010000}"/>
    <cellStyle name="Comma 4 2 4" xfId="290" xr:uid="{00000000-0005-0000-0000-000032010000}"/>
    <cellStyle name="Comma 4 2 5" xfId="630" xr:uid="{00000000-0005-0000-0000-000033010000}"/>
    <cellStyle name="Comma 4 2 6" xfId="770" xr:uid="{00000000-0005-0000-0000-000034010000}"/>
    <cellStyle name="Comma 4 2 7" xfId="946" xr:uid="{00000000-0005-0000-0000-000035010000}"/>
    <cellStyle name="Comma 4 2 8" xfId="677" xr:uid="{00000000-0005-0000-0000-000036010000}"/>
    <cellStyle name="Comma 4 3" xfId="27" xr:uid="{00000000-0005-0000-0000-000037010000}"/>
    <cellStyle name="Comma 4 3 10" xfId="627" xr:uid="{00000000-0005-0000-0000-000038010000}"/>
    <cellStyle name="Comma 4 3 11" xfId="867" xr:uid="{00000000-0005-0000-0000-000039010000}"/>
    <cellStyle name="Comma 4 3 12" xfId="1084" xr:uid="{00000000-0005-0000-0000-00003A010000}"/>
    <cellStyle name="Comma 4 3 2" xfId="108" xr:uid="{00000000-0005-0000-0000-00003B010000}"/>
    <cellStyle name="Comma 4 3 2 2" xfId="315" xr:uid="{00000000-0005-0000-0000-00003C010000}"/>
    <cellStyle name="Comma 4 3 2 3" xfId="480" xr:uid="{00000000-0005-0000-0000-00003D010000}"/>
    <cellStyle name="Comma 4 3 2 4" xfId="704" xr:uid="{00000000-0005-0000-0000-00003E010000}"/>
    <cellStyle name="Comma 4 3 2 5" xfId="896" xr:uid="{00000000-0005-0000-0000-00003F010000}"/>
    <cellStyle name="Comma 4 3 2 6" xfId="1078" xr:uid="{00000000-0005-0000-0000-000040010000}"/>
    <cellStyle name="Comma 4 3 2 7" xfId="1256" xr:uid="{00000000-0005-0000-0000-000041010000}"/>
    <cellStyle name="Comma 4 3 3" xfId="129" xr:uid="{00000000-0005-0000-0000-000042010000}"/>
    <cellStyle name="Comma 4 3 3 2" xfId="334" xr:uid="{00000000-0005-0000-0000-000043010000}"/>
    <cellStyle name="Comma 4 3 3 3" xfId="497" xr:uid="{00000000-0005-0000-0000-000044010000}"/>
    <cellStyle name="Comma 4 3 3 4" xfId="724" xr:uid="{00000000-0005-0000-0000-000045010000}"/>
    <cellStyle name="Comma 4 3 3 5" xfId="915" xr:uid="{00000000-0005-0000-0000-000046010000}"/>
    <cellStyle name="Comma 4 3 3 6" xfId="1097" xr:uid="{00000000-0005-0000-0000-000047010000}"/>
    <cellStyle name="Comma 4 3 3 7" xfId="1273" xr:uid="{00000000-0005-0000-0000-000048010000}"/>
    <cellStyle name="Comma 4 3 4" xfId="150" xr:uid="{00000000-0005-0000-0000-000049010000}"/>
    <cellStyle name="Comma 4 3 4 2" xfId="353" xr:uid="{00000000-0005-0000-0000-00004A010000}"/>
    <cellStyle name="Comma 4 3 4 3" xfId="514" xr:uid="{00000000-0005-0000-0000-00004B010000}"/>
    <cellStyle name="Comma 4 3 4 4" xfId="744" xr:uid="{00000000-0005-0000-0000-00004C010000}"/>
    <cellStyle name="Comma 4 3 4 5" xfId="934" xr:uid="{00000000-0005-0000-0000-00004D010000}"/>
    <cellStyle name="Comma 4 3 4 6" xfId="1117" xr:uid="{00000000-0005-0000-0000-00004E010000}"/>
    <cellStyle name="Comma 4 3 4 7" xfId="1290" xr:uid="{00000000-0005-0000-0000-00004F010000}"/>
    <cellStyle name="Comma 4 3 5" xfId="171" xr:uid="{00000000-0005-0000-0000-000050010000}"/>
    <cellStyle name="Comma 4 3 5 2" xfId="372" xr:uid="{00000000-0005-0000-0000-000051010000}"/>
    <cellStyle name="Comma 4 3 5 3" xfId="531" xr:uid="{00000000-0005-0000-0000-000052010000}"/>
    <cellStyle name="Comma 4 3 5 4" xfId="764" xr:uid="{00000000-0005-0000-0000-000053010000}"/>
    <cellStyle name="Comma 4 3 5 5" xfId="953" xr:uid="{00000000-0005-0000-0000-000054010000}"/>
    <cellStyle name="Comma 4 3 5 6" xfId="1136" xr:uid="{00000000-0005-0000-0000-000055010000}"/>
    <cellStyle name="Comma 4 3 5 7" xfId="1307" xr:uid="{00000000-0005-0000-0000-000056010000}"/>
    <cellStyle name="Comma 4 3 6" xfId="192" xr:uid="{00000000-0005-0000-0000-000057010000}"/>
    <cellStyle name="Comma 4 3 6 2" xfId="391" xr:uid="{00000000-0005-0000-0000-000058010000}"/>
    <cellStyle name="Comma 4 3 6 3" xfId="548" xr:uid="{00000000-0005-0000-0000-000059010000}"/>
    <cellStyle name="Comma 4 3 6 4" xfId="784" xr:uid="{00000000-0005-0000-0000-00005A010000}"/>
    <cellStyle name="Comma 4 3 6 5" xfId="972" xr:uid="{00000000-0005-0000-0000-00005B010000}"/>
    <cellStyle name="Comma 4 3 6 6" xfId="1155" xr:uid="{00000000-0005-0000-0000-00005C010000}"/>
    <cellStyle name="Comma 4 3 6 7" xfId="1324" xr:uid="{00000000-0005-0000-0000-00005D010000}"/>
    <cellStyle name="Comma 4 3 7" xfId="252" xr:uid="{00000000-0005-0000-0000-00005E010000}"/>
    <cellStyle name="Comma 4 3 8" xfId="281" xr:uid="{00000000-0005-0000-0000-00005F010000}"/>
    <cellStyle name="Comma 4 3 9" xfId="641" xr:uid="{00000000-0005-0000-0000-000060010000}"/>
    <cellStyle name="Comma 4 4" xfId="236" xr:uid="{00000000-0005-0000-0000-000061010000}"/>
    <cellStyle name="Comma 4 5" xfId="346" xr:uid="{00000000-0005-0000-0000-000062010000}"/>
    <cellStyle name="Comma 4 6" xfId="623" xr:uid="{00000000-0005-0000-0000-000063010000}"/>
    <cellStyle name="Comma 4 7" xfId="628" xr:uid="{00000000-0005-0000-0000-000064010000}"/>
    <cellStyle name="Comma 4 8" xfId="658" xr:uid="{00000000-0005-0000-0000-000065010000}"/>
    <cellStyle name="Comma 4 9" xfId="1085" xr:uid="{00000000-0005-0000-0000-000066010000}"/>
    <cellStyle name="Comma 5" xfId="25" xr:uid="{00000000-0005-0000-0000-000067010000}"/>
    <cellStyle name="Comma 5 10" xfId="654" xr:uid="{00000000-0005-0000-0000-000068010000}"/>
    <cellStyle name="Comma 5 11" xfId="871" xr:uid="{00000000-0005-0000-0000-000069010000}"/>
    <cellStyle name="Comma 5 12" xfId="1123" xr:uid="{00000000-0005-0000-0000-00006A010000}"/>
    <cellStyle name="Comma 5 2" xfId="106" xr:uid="{00000000-0005-0000-0000-00006B010000}"/>
    <cellStyle name="Comma 5 2 2" xfId="313" xr:uid="{00000000-0005-0000-0000-00006C010000}"/>
    <cellStyle name="Comma 5 2 3" xfId="478" xr:uid="{00000000-0005-0000-0000-00006D010000}"/>
    <cellStyle name="Comma 5 2 4" xfId="702" xr:uid="{00000000-0005-0000-0000-00006E010000}"/>
    <cellStyle name="Comma 5 2 5" xfId="894" xr:uid="{00000000-0005-0000-0000-00006F010000}"/>
    <cellStyle name="Comma 5 2 6" xfId="1076" xr:uid="{00000000-0005-0000-0000-000070010000}"/>
    <cellStyle name="Comma 5 2 7" xfId="1254" xr:uid="{00000000-0005-0000-0000-000071010000}"/>
    <cellStyle name="Comma 5 3" xfId="127" xr:uid="{00000000-0005-0000-0000-000072010000}"/>
    <cellStyle name="Comma 5 3 2" xfId="332" xr:uid="{00000000-0005-0000-0000-000073010000}"/>
    <cellStyle name="Comma 5 3 3" xfId="495" xr:uid="{00000000-0005-0000-0000-000074010000}"/>
    <cellStyle name="Comma 5 3 4" xfId="722" xr:uid="{00000000-0005-0000-0000-000075010000}"/>
    <cellStyle name="Comma 5 3 5" xfId="913" xr:uid="{00000000-0005-0000-0000-000076010000}"/>
    <cellStyle name="Comma 5 3 6" xfId="1095" xr:uid="{00000000-0005-0000-0000-000077010000}"/>
    <cellStyle name="Comma 5 3 7" xfId="1271" xr:uid="{00000000-0005-0000-0000-000078010000}"/>
    <cellStyle name="Comma 5 4" xfId="148" xr:uid="{00000000-0005-0000-0000-000079010000}"/>
    <cellStyle name="Comma 5 4 2" xfId="351" xr:uid="{00000000-0005-0000-0000-00007A010000}"/>
    <cellStyle name="Comma 5 4 3" xfId="512" xr:uid="{00000000-0005-0000-0000-00007B010000}"/>
    <cellStyle name="Comma 5 4 4" xfId="742" xr:uid="{00000000-0005-0000-0000-00007C010000}"/>
    <cellStyle name="Comma 5 4 5" xfId="932" xr:uid="{00000000-0005-0000-0000-00007D010000}"/>
    <cellStyle name="Comma 5 4 6" xfId="1115" xr:uid="{00000000-0005-0000-0000-00007E010000}"/>
    <cellStyle name="Comma 5 4 7" xfId="1288" xr:uid="{00000000-0005-0000-0000-00007F010000}"/>
    <cellStyle name="Comma 5 5" xfId="169" xr:uid="{00000000-0005-0000-0000-000080010000}"/>
    <cellStyle name="Comma 5 5 2" xfId="370" xr:uid="{00000000-0005-0000-0000-000081010000}"/>
    <cellStyle name="Comma 5 5 3" xfId="529" xr:uid="{00000000-0005-0000-0000-000082010000}"/>
    <cellStyle name="Comma 5 5 4" xfId="762" xr:uid="{00000000-0005-0000-0000-000083010000}"/>
    <cellStyle name="Comma 5 5 5" xfId="951" xr:uid="{00000000-0005-0000-0000-000084010000}"/>
    <cellStyle name="Comma 5 5 6" xfId="1134" xr:uid="{00000000-0005-0000-0000-000085010000}"/>
    <cellStyle name="Comma 5 5 7" xfId="1305" xr:uid="{00000000-0005-0000-0000-000086010000}"/>
    <cellStyle name="Comma 5 6" xfId="190" xr:uid="{00000000-0005-0000-0000-000087010000}"/>
    <cellStyle name="Comma 5 6 2" xfId="389" xr:uid="{00000000-0005-0000-0000-000088010000}"/>
    <cellStyle name="Comma 5 6 3" xfId="546" xr:uid="{00000000-0005-0000-0000-000089010000}"/>
    <cellStyle name="Comma 5 6 4" xfId="782" xr:uid="{00000000-0005-0000-0000-00008A010000}"/>
    <cellStyle name="Comma 5 6 5" xfId="970" xr:uid="{00000000-0005-0000-0000-00008B010000}"/>
    <cellStyle name="Comma 5 6 6" xfId="1153" xr:uid="{00000000-0005-0000-0000-00008C010000}"/>
    <cellStyle name="Comma 5 6 7" xfId="1322" xr:uid="{00000000-0005-0000-0000-00008D010000}"/>
    <cellStyle name="Comma 5 7" xfId="250" xr:uid="{00000000-0005-0000-0000-00008E010000}"/>
    <cellStyle name="Comma 5 8" xfId="283" xr:uid="{00000000-0005-0000-0000-00008F010000}"/>
    <cellStyle name="Comma 5 9" xfId="639" xr:uid="{00000000-0005-0000-0000-000090010000}"/>
    <cellStyle name="Comma 6" xfId="42" xr:uid="{00000000-0005-0000-0000-000091010000}"/>
    <cellStyle name="Comma 6 10" xfId="684" xr:uid="{00000000-0005-0000-0000-000092010000}"/>
    <cellStyle name="Comma 6 10 2" xfId="1762" xr:uid="{00000000-0005-0000-0000-000093010000}"/>
    <cellStyle name="Comma 6 11" xfId="665" xr:uid="{00000000-0005-0000-0000-000094010000}"/>
    <cellStyle name="Comma 6 11 2" xfId="1752" xr:uid="{00000000-0005-0000-0000-000095010000}"/>
    <cellStyle name="Comma 6 12" xfId="1052" xr:uid="{00000000-0005-0000-0000-000096010000}"/>
    <cellStyle name="Comma 6 12 2" xfId="1942" xr:uid="{00000000-0005-0000-0000-000097010000}"/>
    <cellStyle name="Comma 6 13" xfId="1415" xr:uid="{00000000-0005-0000-0000-000098010000}"/>
    <cellStyle name="Comma 6 13 2" xfId="2144" xr:uid="{00000000-0005-0000-0000-000099010000}"/>
    <cellStyle name="Comma 6 14" xfId="1439" xr:uid="{00000000-0005-0000-0000-00009A010000}"/>
    <cellStyle name="Comma 6 14 2" xfId="2167" xr:uid="{00000000-0005-0000-0000-00009B010000}"/>
    <cellStyle name="Comma 6 15" xfId="1516" xr:uid="{00000000-0005-0000-0000-00009C010000}"/>
    <cellStyle name="Comma 6 2" xfId="123" xr:uid="{00000000-0005-0000-0000-00009D010000}"/>
    <cellStyle name="Comma 6 2 10" xfId="1536" xr:uid="{00000000-0005-0000-0000-00009E010000}"/>
    <cellStyle name="Comma 6 2 2" xfId="328" xr:uid="{00000000-0005-0000-0000-00009F010000}"/>
    <cellStyle name="Comma 6 2 2 2" xfId="1592" xr:uid="{00000000-0005-0000-0000-0000A0010000}"/>
    <cellStyle name="Comma 6 2 3" xfId="491" xr:uid="{00000000-0005-0000-0000-0000A1010000}"/>
    <cellStyle name="Comma 6 2 3 2" xfId="1677" xr:uid="{00000000-0005-0000-0000-0000A2010000}"/>
    <cellStyle name="Comma 6 2 4" xfId="718" xr:uid="{00000000-0005-0000-0000-0000A3010000}"/>
    <cellStyle name="Comma 6 2 4 2" xfId="1774" xr:uid="{00000000-0005-0000-0000-0000A4010000}"/>
    <cellStyle name="Comma 6 2 5" xfId="909" xr:uid="{00000000-0005-0000-0000-0000A5010000}"/>
    <cellStyle name="Comma 6 2 5 2" xfId="1863" xr:uid="{00000000-0005-0000-0000-0000A6010000}"/>
    <cellStyle name="Comma 6 2 6" xfId="1091" xr:uid="{00000000-0005-0000-0000-0000A7010000}"/>
    <cellStyle name="Comma 6 2 6 2" xfId="1958" xr:uid="{00000000-0005-0000-0000-0000A8010000}"/>
    <cellStyle name="Comma 6 2 7" xfId="1267" xr:uid="{00000000-0005-0000-0000-0000A9010000}"/>
    <cellStyle name="Comma 6 2 7 2" xfId="2048" xr:uid="{00000000-0005-0000-0000-0000AA010000}"/>
    <cellStyle name="Comma 6 2 8" xfId="1452" xr:uid="{00000000-0005-0000-0000-0000AB010000}"/>
    <cellStyle name="Comma 6 2 8 2" xfId="2180" xr:uid="{00000000-0005-0000-0000-0000AC010000}"/>
    <cellStyle name="Comma 6 2 9" xfId="1478" xr:uid="{00000000-0005-0000-0000-0000AD010000}"/>
    <cellStyle name="Comma 6 2 9 2" xfId="2205" xr:uid="{00000000-0005-0000-0000-0000AE010000}"/>
    <cellStyle name="Comma 6 3" xfId="144" xr:uid="{00000000-0005-0000-0000-0000AF010000}"/>
    <cellStyle name="Comma 6 3 10" xfId="1541" xr:uid="{00000000-0005-0000-0000-0000B0010000}"/>
    <cellStyle name="Comma 6 3 2" xfId="347" xr:uid="{00000000-0005-0000-0000-0000B1010000}"/>
    <cellStyle name="Comma 6 3 2 2" xfId="1597" xr:uid="{00000000-0005-0000-0000-0000B2010000}"/>
    <cellStyle name="Comma 6 3 3" xfId="508" xr:uid="{00000000-0005-0000-0000-0000B3010000}"/>
    <cellStyle name="Comma 6 3 3 2" xfId="1682" xr:uid="{00000000-0005-0000-0000-0000B4010000}"/>
    <cellStyle name="Comma 6 3 4" xfId="738" xr:uid="{00000000-0005-0000-0000-0000B5010000}"/>
    <cellStyle name="Comma 6 3 4 2" xfId="1779" xr:uid="{00000000-0005-0000-0000-0000B6010000}"/>
    <cellStyle name="Comma 6 3 5" xfId="928" xr:uid="{00000000-0005-0000-0000-0000B7010000}"/>
    <cellStyle name="Comma 6 3 5 2" xfId="1868" xr:uid="{00000000-0005-0000-0000-0000B8010000}"/>
    <cellStyle name="Comma 6 3 6" xfId="1111" xr:uid="{00000000-0005-0000-0000-0000B9010000}"/>
    <cellStyle name="Comma 6 3 6 2" xfId="1963" xr:uid="{00000000-0005-0000-0000-0000BA010000}"/>
    <cellStyle name="Comma 6 3 7" xfId="1284" xr:uid="{00000000-0005-0000-0000-0000BB010000}"/>
    <cellStyle name="Comma 6 3 7 2" xfId="2053" xr:uid="{00000000-0005-0000-0000-0000BC010000}"/>
    <cellStyle name="Comma 6 3 8" xfId="1427" xr:uid="{00000000-0005-0000-0000-0000BD010000}"/>
    <cellStyle name="Comma 6 3 8 2" xfId="2155" xr:uid="{00000000-0005-0000-0000-0000BE010000}"/>
    <cellStyle name="Comma 6 3 9" xfId="1483" xr:uid="{00000000-0005-0000-0000-0000BF010000}"/>
    <cellStyle name="Comma 6 3 9 2" xfId="2210" xr:uid="{00000000-0005-0000-0000-0000C0010000}"/>
    <cellStyle name="Comma 6 4" xfId="165" xr:uid="{00000000-0005-0000-0000-0000C1010000}"/>
    <cellStyle name="Comma 6 4 10" xfId="1546" xr:uid="{00000000-0005-0000-0000-0000C2010000}"/>
    <cellStyle name="Comma 6 4 2" xfId="366" xr:uid="{00000000-0005-0000-0000-0000C3010000}"/>
    <cellStyle name="Comma 6 4 2 2" xfId="1602" xr:uid="{00000000-0005-0000-0000-0000C4010000}"/>
    <cellStyle name="Comma 6 4 3" xfId="525" xr:uid="{00000000-0005-0000-0000-0000C5010000}"/>
    <cellStyle name="Comma 6 4 3 2" xfId="1687" xr:uid="{00000000-0005-0000-0000-0000C6010000}"/>
    <cellStyle name="Comma 6 4 4" xfId="758" xr:uid="{00000000-0005-0000-0000-0000C7010000}"/>
    <cellStyle name="Comma 6 4 4 2" xfId="1784" xr:uid="{00000000-0005-0000-0000-0000C8010000}"/>
    <cellStyle name="Comma 6 4 5" xfId="947" xr:uid="{00000000-0005-0000-0000-0000C9010000}"/>
    <cellStyle name="Comma 6 4 5 2" xfId="1873" xr:uid="{00000000-0005-0000-0000-0000CA010000}"/>
    <cellStyle name="Comma 6 4 6" xfId="1130" xr:uid="{00000000-0005-0000-0000-0000CB010000}"/>
    <cellStyle name="Comma 6 4 6 2" xfId="1968" xr:uid="{00000000-0005-0000-0000-0000CC010000}"/>
    <cellStyle name="Comma 6 4 7" xfId="1301" xr:uid="{00000000-0005-0000-0000-0000CD010000}"/>
    <cellStyle name="Comma 6 4 7 2" xfId="2058" xr:uid="{00000000-0005-0000-0000-0000CE010000}"/>
    <cellStyle name="Comma 6 4 8" xfId="1456" xr:uid="{00000000-0005-0000-0000-0000CF010000}"/>
    <cellStyle name="Comma 6 4 8 2" xfId="2183" xr:uid="{00000000-0005-0000-0000-0000D0010000}"/>
    <cellStyle name="Comma 6 4 9" xfId="1488" xr:uid="{00000000-0005-0000-0000-0000D1010000}"/>
    <cellStyle name="Comma 6 4 9 2" xfId="2215" xr:uid="{00000000-0005-0000-0000-0000D2010000}"/>
    <cellStyle name="Comma 6 5" xfId="186" xr:uid="{00000000-0005-0000-0000-0000D3010000}"/>
    <cellStyle name="Comma 6 5 10" xfId="1551" xr:uid="{00000000-0005-0000-0000-0000D4010000}"/>
    <cellStyle name="Comma 6 5 2" xfId="385" xr:uid="{00000000-0005-0000-0000-0000D5010000}"/>
    <cellStyle name="Comma 6 5 2 2" xfId="1607" xr:uid="{00000000-0005-0000-0000-0000D6010000}"/>
    <cellStyle name="Comma 6 5 3" xfId="542" xr:uid="{00000000-0005-0000-0000-0000D7010000}"/>
    <cellStyle name="Comma 6 5 3 2" xfId="1692" xr:uid="{00000000-0005-0000-0000-0000D8010000}"/>
    <cellStyle name="Comma 6 5 4" xfId="778" xr:uid="{00000000-0005-0000-0000-0000D9010000}"/>
    <cellStyle name="Comma 6 5 4 2" xfId="1789" xr:uid="{00000000-0005-0000-0000-0000DA010000}"/>
    <cellStyle name="Comma 6 5 5" xfId="966" xr:uid="{00000000-0005-0000-0000-0000DB010000}"/>
    <cellStyle name="Comma 6 5 5 2" xfId="1878" xr:uid="{00000000-0005-0000-0000-0000DC010000}"/>
    <cellStyle name="Comma 6 5 6" xfId="1149" xr:uid="{00000000-0005-0000-0000-0000DD010000}"/>
    <cellStyle name="Comma 6 5 6 2" xfId="1973" xr:uid="{00000000-0005-0000-0000-0000DE010000}"/>
    <cellStyle name="Comma 6 5 7" xfId="1318" xr:uid="{00000000-0005-0000-0000-0000DF010000}"/>
    <cellStyle name="Comma 6 5 7 2" xfId="2063" xr:uid="{00000000-0005-0000-0000-0000E0010000}"/>
    <cellStyle name="Comma 6 5 8" xfId="1455" xr:uid="{00000000-0005-0000-0000-0000E1010000}"/>
    <cellStyle name="Comma 6 5 8 2" xfId="2182" xr:uid="{00000000-0005-0000-0000-0000E2010000}"/>
    <cellStyle name="Comma 6 5 9" xfId="1493" xr:uid="{00000000-0005-0000-0000-0000E3010000}"/>
    <cellStyle name="Comma 6 5 9 2" xfId="2220" xr:uid="{00000000-0005-0000-0000-0000E4010000}"/>
    <cellStyle name="Comma 6 6" xfId="207" xr:uid="{00000000-0005-0000-0000-0000E5010000}"/>
    <cellStyle name="Comma 6 6 10" xfId="1556" xr:uid="{00000000-0005-0000-0000-0000E6010000}"/>
    <cellStyle name="Comma 6 6 2" xfId="402" xr:uid="{00000000-0005-0000-0000-0000E7010000}"/>
    <cellStyle name="Comma 6 6 2 2" xfId="1612" xr:uid="{00000000-0005-0000-0000-0000E8010000}"/>
    <cellStyle name="Comma 6 6 3" xfId="559" xr:uid="{00000000-0005-0000-0000-0000E9010000}"/>
    <cellStyle name="Comma 6 6 3 2" xfId="1697" xr:uid="{00000000-0005-0000-0000-0000EA010000}"/>
    <cellStyle name="Comma 6 6 4" xfId="798" xr:uid="{00000000-0005-0000-0000-0000EB010000}"/>
    <cellStyle name="Comma 6 6 4 2" xfId="1794" xr:uid="{00000000-0005-0000-0000-0000EC010000}"/>
    <cellStyle name="Comma 6 6 5" xfId="985" xr:uid="{00000000-0005-0000-0000-0000ED010000}"/>
    <cellStyle name="Comma 6 6 5 2" xfId="1883" xr:uid="{00000000-0005-0000-0000-0000EE010000}"/>
    <cellStyle name="Comma 6 6 6" xfId="1169" xr:uid="{00000000-0005-0000-0000-0000EF010000}"/>
    <cellStyle name="Comma 6 6 6 2" xfId="1978" xr:uid="{00000000-0005-0000-0000-0000F0010000}"/>
    <cellStyle name="Comma 6 6 7" xfId="1335" xr:uid="{00000000-0005-0000-0000-0000F1010000}"/>
    <cellStyle name="Comma 6 6 7 2" xfId="2068" xr:uid="{00000000-0005-0000-0000-0000F2010000}"/>
    <cellStyle name="Comma 6 6 8" xfId="1451" xr:uid="{00000000-0005-0000-0000-0000F3010000}"/>
    <cellStyle name="Comma 6 6 8 2" xfId="2179" xr:uid="{00000000-0005-0000-0000-0000F4010000}"/>
    <cellStyle name="Comma 6 6 9" xfId="1498" xr:uid="{00000000-0005-0000-0000-0000F5010000}"/>
    <cellStyle name="Comma 6 6 9 2" xfId="2225" xr:uid="{00000000-0005-0000-0000-0000F6010000}"/>
    <cellStyle name="Comma 6 7" xfId="265" xr:uid="{00000000-0005-0000-0000-0000F7010000}"/>
    <cellStyle name="Comma 6 7 2" xfId="1569" xr:uid="{00000000-0005-0000-0000-0000F8010000}"/>
    <cellStyle name="Comma 6 8" xfId="271" xr:uid="{00000000-0005-0000-0000-0000F9010000}"/>
    <cellStyle name="Comma 6 8 2" xfId="1575" xr:uid="{00000000-0005-0000-0000-0000FA010000}"/>
    <cellStyle name="Comma 6 9" xfId="656" xr:uid="{00000000-0005-0000-0000-0000FB010000}"/>
    <cellStyle name="Comma 6 9 2" xfId="1749" xr:uid="{00000000-0005-0000-0000-0000FC010000}"/>
    <cellStyle name="Comma 7" xfId="91" xr:uid="{00000000-0005-0000-0000-0000FD010000}"/>
    <cellStyle name="Comma 7 2" xfId="299" xr:uid="{00000000-0005-0000-0000-0000FE010000}"/>
    <cellStyle name="Comma 7 3" xfId="464" xr:uid="{00000000-0005-0000-0000-0000FF010000}"/>
    <cellStyle name="Comma 7 4" xfId="688" xr:uid="{00000000-0005-0000-0000-000000020000}"/>
    <cellStyle name="Comma 7 5" xfId="880" xr:uid="{00000000-0005-0000-0000-000001020000}"/>
    <cellStyle name="Comma 7 6" xfId="1061" xr:uid="{00000000-0005-0000-0000-000002020000}"/>
    <cellStyle name="Comma 7 7" xfId="1240" xr:uid="{00000000-0005-0000-0000-000003020000}"/>
    <cellStyle name="Comma 8" xfId="96" xr:uid="{00000000-0005-0000-0000-000004020000}"/>
    <cellStyle name="Comma 8 10" xfId="1530" xr:uid="{00000000-0005-0000-0000-000005020000}"/>
    <cellStyle name="Comma 8 2" xfId="303" xr:uid="{00000000-0005-0000-0000-000006020000}"/>
    <cellStyle name="Comma 8 2 2" xfId="1586" xr:uid="{00000000-0005-0000-0000-000007020000}"/>
    <cellStyle name="Comma 8 3" xfId="468" xr:uid="{00000000-0005-0000-0000-000008020000}"/>
    <cellStyle name="Comma 8 3 2" xfId="1671" xr:uid="{00000000-0005-0000-0000-000009020000}"/>
    <cellStyle name="Comma 8 4" xfId="692" xr:uid="{00000000-0005-0000-0000-00000A020000}"/>
    <cellStyle name="Comma 8 4 2" xfId="1768" xr:uid="{00000000-0005-0000-0000-00000B020000}"/>
    <cellStyle name="Comma 8 5" xfId="884" xr:uid="{00000000-0005-0000-0000-00000C020000}"/>
    <cellStyle name="Comma 8 5 2" xfId="1857" xr:uid="{00000000-0005-0000-0000-00000D020000}"/>
    <cellStyle name="Comma 8 6" xfId="1066" xr:uid="{00000000-0005-0000-0000-00000E020000}"/>
    <cellStyle name="Comma 8 6 2" xfId="1952" xr:uid="{00000000-0005-0000-0000-00000F020000}"/>
    <cellStyle name="Comma 8 7" xfId="1244" xr:uid="{00000000-0005-0000-0000-000010020000}"/>
    <cellStyle name="Comma 8 7 2" xfId="2042" xr:uid="{00000000-0005-0000-0000-000011020000}"/>
    <cellStyle name="Comma 8 8" xfId="1434" xr:uid="{00000000-0005-0000-0000-000012020000}"/>
    <cellStyle name="Comma 8 8 2" xfId="2162" xr:uid="{00000000-0005-0000-0000-000013020000}"/>
    <cellStyle name="Comma 8 9" xfId="1472" xr:uid="{00000000-0005-0000-0000-000014020000}"/>
    <cellStyle name="Comma 8 9 2" xfId="2199" xr:uid="{00000000-0005-0000-0000-000015020000}"/>
    <cellStyle name="Comma 9" xfId="217" xr:uid="{00000000-0005-0000-0000-000016020000}"/>
    <cellStyle name="Comma 9 10" xfId="1562" xr:uid="{00000000-0005-0000-0000-000017020000}"/>
    <cellStyle name="Comma 9 2" xfId="408" xr:uid="{00000000-0005-0000-0000-000018020000}"/>
    <cellStyle name="Comma 9 2 2" xfId="1618" xr:uid="{00000000-0005-0000-0000-000019020000}"/>
    <cellStyle name="Comma 9 3" xfId="565" xr:uid="{00000000-0005-0000-0000-00001A020000}"/>
    <cellStyle name="Comma 9 3 2" xfId="1703" xr:uid="{00000000-0005-0000-0000-00001B020000}"/>
    <cellStyle name="Comma 9 4" xfId="808" xr:uid="{00000000-0005-0000-0000-00001C020000}"/>
    <cellStyle name="Comma 9 4 2" xfId="1800" xr:uid="{00000000-0005-0000-0000-00001D020000}"/>
    <cellStyle name="Comma 9 5" xfId="994" xr:uid="{00000000-0005-0000-0000-00001E020000}"/>
    <cellStyle name="Comma 9 5 2" xfId="1889" xr:uid="{00000000-0005-0000-0000-00001F020000}"/>
    <cellStyle name="Comma 9 6" xfId="1178" xr:uid="{00000000-0005-0000-0000-000020020000}"/>
    <cellStyle name="Comma 9 6 2" xfId="1984" xr:uid="{00000000-0005-0000-0000-000021020000}"/>
    <cellStyle name="Comma 9 7" xfId="1341" xr:uid="{00000000-0005-0000-0000-000022020000}"/>
    <cellStyle name="Comma 9 7 2" xfId="2074" xr:uid="{00000000-0005-0000-0000-000023020000}"/>
    <cellStyle name="Comma 9 8" xfId="1418" xr:uid="{00000000-0005-0000-0000-000024020000}"/>
    <cellStyle name="Comma 9 8 2" xfId="2147" xr:uid="{00000000-0005-0000-0000-000025020000}"/>
    <cellStyle name="Comma 9 9" xfId="1504" xr:uid="{00000000-0005-0000-0000-000026020000}"/>
    <cellStyle name="Comma 9 9 2" xfId="2231" xr:uid="{00000000-0005-0000-0000-000027020000}"/>
    <cellStyle name="Currency" xfId="5" xr:uid="{00000000-0005-0000-0000-000028020000}"/>
    <cellStyle name="Currency 10" xfId="103" xr:uid="{00000000-0005-0000-0000-000029020000}"/>
    <cellStyle name="Currency 10 10" xfId="1534" xr:uid="{00000000-0005-0000-0000-00002A020000}"/>
    <cellStyle name="Currency 10 2" xfId="310" xr:uid="{00000000-0005-0000-0000-00002B020000}"/>
    <cellStyle name="Currency 10 2 2" xfId="1590" xr:uid="{00000000-0005-0000-0000-00002C020000}"/>
    <cellStyle name="Currency 10 3" xfId="475" xr:uid="{00000000-0005-0000-0000-00002D020000}"/>
    <cellStyle name="Currency 10 3 2" xfId="1675" xr:uid="{00000000-0005-0000-0000-00002E020000}"/>
    <cellStyle name="Currency 10 4" xfId="699" xr:uid="{00000000-0005-0000-0000-00002F020000}"/>
    <cellStyle name="Currency 10 4 2" xfId="1772" xr:uid="{00000000-0005-0000-0000-000030020000}"/>
    <cellStyle name="Currency 10 5" xfId="891" xr:uid="{00000000-0005-0000-0000-000031020000}"/>
    <cellStyle name="Currency 10 5 2" xfId="1861" xr:uid="{00000000-0005-0000-0000-000032020000}"/>
    <cellStyle name="Currency 10 6" xfId="1073" xr:uid="{00000000-0005-0000-0000-000033020000}"/>
    <cellStyle name="Currency 10 6 2" xfId="1956" xr:uid="{00000000-0005-0000-0000-000034020000}"/>
    <cellStyle name="Currency 10 7" xfId="1251" xr:uid="{00000000-0005-0000-0000-000035020000}"/>
    <cellStyle name="Currency 10 7 2" xfId="2046" xr:uid="{00000000-0005-0000-0000-000036020000}"/>
    <cellStyle name="Currency 10 8" xfId="1408" xr:uid="{00000000-0005-0000-0000-000037020000}"/>
    <cellStyle name="Currency 10 8 2" xfId="2137" xr:uid="{00000000-0005-0000-0000-000038020000}"/>
    <cellStyle name="Currency 10 9" xfId="1476" xr:uid="{00000000-0005-0000-0000-000039020000}"/>
    <cellStyle name="Currency 10 9 2" xfId="2203" xr:uid="{00000000-0005-0000-0000-00003A020000}"/>
    <cellStyle name="Currency 11" xfId="218" xr:uid="{00000000-0005-0000-0000-00003B020000}"/>
    <cellStyle name="Currency 11 10" xfId="1563" xr:uid="{00000000-0005-0000-0000-00003C020000}"/>
    <cellStyle name="Currency 11 2" xfId="409" xr:uid="{00000000-0005-0000-0000-00003D020000}"/>
    <cellStyle name="Currency 11 2 2" xfId="1619" xr:uid="{00000000-0005-0000-0000-00003E020000}"/>
    <cellStyle name="Currency 11 3" xfId="566" xr:uid="{00000000-0005-0000-0000-00003F020000}"/>
    <cellStyle name="Currency 11 3 2" xfId="1704" xr:uid="{00000000-0005-0000-0000-000040020000}"/>
    <cellStyle name="Currency 11 4" xfId="809" xr:uid="{00000000-0005-0000-0000-000041020000}"/>
    <cellStyle name="Currency 11 4 2" xfId="1801" xr:uid="{00000000-0005-0000-0000-000042020000}"/>
    <cellStyle name="Currency 11 5" xfId="995" xr:uid="{00000000-0005-0000-0000-000043020000}"/>
    <cellStyle name="Currency 11 5 2" xfId="1890" xr:uid="{00000000-0005-0000-0000-000044020000}"/>
    <cellStyle name="Currency 11 6" xfId="1179" xr:uid="{00000000-0005-0000-0000-000045020000}"/>
    <cellStyle name="Currency 11 6 2" xfId="1985" xr:uid="{00000000-0005-0000-0000-000046020000}"/>
    <cellStyle name="Currency 11 7" xfId="1342" xr:uid="{00000000-0005-0000-0000-000047020000}"/>
    <cellStyle name="Currency 11 7 2" xfId="2075" xr:uid="{00000000-0005-0000-0000-000048020000}"/>
    <cellStyle name="Currency 11 8" xfId="1460" xr:uid="{00000000-0005-0000-0000-000049020000}"/>
    <cellStyle name="Currency 11 8 2" xfId="2187" xr:uid="{00000000-0005-0000-0000-00004A020000}"/>
    <cellStyle name="Currency 11 9" xfId="1505" xr:uid="{00000000-0005-0000-0000-00004B020000}"/>
    <cellStyle name="Currency 11 9 2" xfId="2232" xr:uid="{00000000-0005-0000-0000-00004C020000}"/>
    <cellStyle name="Currency 12" xfId="220" xr:uid="{00000000-0005-0000-0000-00004D020000}"/>
    <cellStyle name="Currency 12 10" xfId="1565" xr:uid="{00000000-0005-0000-0000-00004E020000}"/>
    <cellStyle name="Currency 12 2" xfId="411" xr:uid="{00000000-0005-0000-0000-00004F020000}"/>
    <cellStyle name="Currency 12 2 2" xfId="1621" xr:uid="{00000000-0005-0000-0000-000050020000}"/>
    <cellStyle name="Currency 12 3" xfId="568" xr:uid="{00000000-0005-0000-0000-000051020000}"/>
    <cellStyle name="Currency 12 3 2" xfId="1706" xr:uid="{00000000-0005-0000-0000-000052020000}"/>
    <cellStyle name="Currency 12 4" xfId="811" xr:uid="{00000000-0005-0000-0000-000053020000}"/>
    <cellStyle name="Currency 12 4 2" xfId="1803" xr:uid="{00000000-0005-0000-0000-000054020000}"/>
    <cellStyle name="Currency 12 5" xfId="997" xr:uid="{00000000-0005-0000-0000-000055020000}"/>
    <cellStyle name="Currency 12 5 2" xfId="1892" xr:uid="{00000000-0005-0000-0000-000056020000}"/>
    <cellStyle name="Currency 12 6" xfId="1181" xr:uid="{00000000-0005-0000-0000-000057020000}"/>
    <cellStyle name="Currency 12 6 2" xfId="1987" xr:uid="{00000000-0005-0000-0000-000058020000}"/>
    <cellStyle name="Currency 12 7" xfId="1344" xr:uid="{00000000-0005-0000-0000-000059020000}"/>
    <cellStyle name="Currency 12 7 2" xfId="2077" xr:uid="{00000000-0005-0000-0000-00005A020000}"/>
    <cellStyle name="Currency 12 8" xfId="1421" xr:uid="{00000000-0005-0000-0000-00005B020000}"/>
    <cellStyle name="Currency 12 8 2" xfId="2150" xr:uid="{00000000-0005-0000-0000-00005C020000}"/>
    <cellStyle name="Currency 12 9" xfId="1507" xr:uid="{00000000-0005-0000-0000-00005D020000}"/>
    <cellStyle name="Currency 12 9 2" xfId="2234" xr:uid="{00000000-0005-0000-0000-00005E020000}"/>
    <cellStyle name="Currency 13" xfId="222" xr:uid="{00000000-0005-0000-0000-00005F020000}"/>
    <cellStyle name="Currency 13 2" xfId="413" xr:uid="{00000000-0005-0000-0000-000060020000}"/>
    <cellStyle name="Currency 13 3" xfId="570" xr:uid="{00000000-0005-0000-0000-000061020000}"/>
    <cellStyle name="Currency 13 4" xfId="813" xr:uid="{00000000-0005-0000-0000-000062020000}"/>
    <cellStyle name="Currency 13 5" xfId="999" xr:uid="{00000000-0005-0000-0000-000063020000}"/>
    <cellStyle name="Currency 13 6" xfId="1183" xr:uid="{00000000-0005-0000-0000-000064020000}"/>
    <cellStyle name="Currency 13 7" xfId="1346" xr:uid="{00000000-0005-0000-0000-000065020000}"/>
    <cellStyle name="Currency 14" xfId="1514" xr:uid="{00000000-0005-0000-0000-000066020000}"/>
    <cellStyle name="Currency 15" xfId="2240" xr:uid="{00000000-0005-0000-0000-000067020000}"/>
    <cellStyle name="Currency 15 2" xfId="2253" xr:uid="{00000000-0005-0000-0000-000068020000}"/>
    <cellStyle name="Currency 16" xfId="2243" xr:uid="{00000000-0005-0000-0000-000069020000}"/>
    <cellStyle name="Currency 17" xfId="2249" xr:uid="{00000000-0005-0000-0000-00006A020000}"/>
    <cellStyle name="Currency 18" xfId="2251" xr:uid="{00000000-0005-0000-0000-00006B020000}"/>
    <cellStyle name="Currency 2" xfId="6" xr:uid="{00000000-0005-0000-0000-00006C020000}"/>
    <cellStyle name="Currency 2 10" xfId="777" xr:uid="{00000000-0005-0000-0000-00006D020000}"/>
    <cellStyle name="Currency 2 11" xfId="990" xr:uid="{00000000-0005-0000-0000-00006E020000}"/>
    <cellStyle name="Currency 2 12" xfId="872" xr:uid="{00000000-0005-0000-0000-00006F020000}"/>
    <cellStyle name="Currency 2 2" xfId="7" xr:uid="{00000000-0005-0000-0000-000070020000}"/>
    <cellStyle name="Currency 2 2 2" xfId="17" xr:uid="{00000000-0005-0000-0000-000071020000}"/>
    <cellStyle name="Currency 2 2 2 2" xfId="38" xr:uid="{00000000-0005-0000-0000-000072020000}"/>
    <cellStyle name="Currency 2 2 2 2 10" xfId="675" xr:uid="{00000000-0005-0000-0000-000073020000}"/>
    <cellStyle name="Currency 2 2 2 2 11" xfId="663" xr:uid="{00000000-0005-0000-0000-000074020000}"/>
    <cellStyle name="Currency 2 2 2 2 12" xfId="1184" xr:uid="{00000000-0005-0000-0000-000075020000}"/>
    <cellStyle name="Currency 2 2 2 2 2" xfId="119" xr:uid="{00000000-0005-0000-0000-000076020000}"/>
    <cellStyle name="Currency 2 2 2 2 2 2" xfId="325" xr:uid="{00000000-0005-0000-0000-000077020000}"/>
    <cellStyle name="Currency 2 2 2 2 2 3" xfId="489" xr:uid="{00000000-0005-0000-0000-000078020000}"/>
    <cellStyle name="Currency 2 2 2 2 2 4" xfId="715" xr:uid="{00000000-0005-0000-0000-000079020000}"/>
    <cellStyle name="Currency 2 2 2 2 2 5" xfId="906" xr:uid="{00000000-0005-0000-0000-00007A020000}"/>
    <cellStyle name="Currency 2 2 2 2 2 6" xfId="1089" xr:uid="{00000000-0005-0000-0000-00007B020000}"/>
    <cellStyle name="Currency 2 2 2 2 2 7" xfId="1265" xr:uid="{00000000-0005-0000-0000-00007C020000}"/>
    <cellStyle name="Currency 2 2 2 2 3" xfId="140" xr:uid="{00000000-0005-0000-0000-00007D020000}"/>
    <cellStyle name="Currency 2 2 2 2 3 2" xfId="344" xr:uid="{00000000-0005-0000-0000-00007E020000}"/>
    <cellStyle name="Currency 2 2 2 2 3 3" xfId="506" xr:uid="{00000000-0005-0000-0000-00007F020000}"/>
    <cellStyle name="Currency 2 2 2 2 3 4" xfId="734" xr:uid="{00000000-0005-0000-0000-000080020000}"/>
    <cellStyle name="Currency 2 2 2 2 3 5" xfId="925" xr:uid="{00000000-0005-0000-0000-000081020000}"/>
    <cellStyle name="Currency 2 2 2 2 3 6" xfId="1108" xr:uid="{00000000-0005-0000-0000-000082020000}"/>
    <cellStyle name="Currency 2 2 2 2 3 7" xfId="1282" xr:uid="{00000000-0005-0000-0000-000083020000}"/>
    <cellStyle name="Currency 2 2 2 2 4" xfId="161" xr:uid="{00000000-0005-0000-0000-000084020000}"/>
    <cellStyle name="Currency 2 2 2 2 4 2" xfId="363" xr:uid="{00000000-0005-0000-0000-000085020000}"/>
    <cellStyle name="Currency 2 2 2 2 4 3" xfId="523" xr:uid="{00000000-0005-0000-0000-000086020000}"/>
    <cellStyle name="Currency 2 2 2 2 4 4" xfId="754" xr:uid="{00000000-0005-0000-0000-000087020000}"/>
    <cellStyle name="Currency 2 2 2 2 4 5" xfId="944" xr:uid="{00000000-0005-0000-0000-000088020000}"/>
    <cellStyle name="Currency 2 2 2 2 4 6" xfId="1128" xr:uid="{00000000-0005-0000-0000-000089020000}"/>
    <cellStyle name="Currency 2 2 2 2 4 7" xfId="1299" xr:uid="{00000000-0005-0000-0000-00008A020000}"/>
    <cellStyle name="Currency 2 2 2 2 5" xfId="182" xr:uid="{00000000-0005-0000-0000-00008B020000}"/>
    <cellStyle name="Currency 2 2 2 2 5 2" xfId="382" xr:uid="{00000000-0005-0000-0000-00008C020000}"/>
    <cellStyle name="Currency 2 2 2 2 5 3" xfId="540" xr:uid="{00000000-0005-0000-0000-00008D020000}"/>
    <cellStyle name="Currency 2 2 2 2 5 4" xfId="774" xr:uid="{00000000-0005-0000-0000-00008E020000}"/>
    <cellStyle name="Currency 2 2 2 2 5 5" xfId="963" xr:uid="{00000000-0005-0000-0000-00008F020000}"/>
    <cellStyle name="Currency 2 2 2 2 5 6" xfId="1145" xr:uid="{00000000-0005-0000-0000-000090020000}"/>
    <cellStyle name="Currency 2 2 2 2 5 7" xfId="1316" xr:uid="{00000000-0005-0000-0000-000091020000}"/>
    <cellStyle name="Currency 2 2 2 2 6" xfId="203" xr:uid="{00000000-0005-0000-0000-000092020000}"/>
    <cellStyle name="Currency 2 2 2 2 6 2" xfId="400" xr:uid="{00000000-0005-0000-0000-000093020000}"/>
    <cellStyle name="Currency 2 2 2 2 6 3" xfId="557" xr:uid="{00000000-0005-0000-0000-000094020000}"/>
    <cellStyle name="Currency 2 2 2 2 6 4" xfId="794" xr:uid="{00000000-0005-0000-0000-000095020000}"/>
    <cellStyle name="Currency 2 2 2 2 6 5" xfId="982" xr:uid="{00000000-0005-0000-0000-000096020000}"/>
    <cellStyle name="Currency 2 2 2 2 6 6" xfId="1165" xr:uid="{00000000-0005-0000-0000-000097020000}"/>
    <cellStyle name="Currency 2 2 2 2 6 7" xfId="1333" xr:uid="{00000000-0005-0000-0000-000098020000}"/>
    <cellStyle name="Currency 2 2 2 2 7" xfId="262" xr:uid="{00000000-0005-0000-0000-000099020000}"/>
    <cellStyle name="Currency 2 2 2 2 8" xfId="273" xr:uid="{00000000-0005-0000-0000-00009A020000}"/>
    <cellStyle name="Currency 2 2 2 2 9" xfId="652" xr:uid="{00000000-0005-0000-0000-00009B020000}"/>
    <cellStyle name="Currency 2 2 2 3" xfId="245" xr:uid="{00000000-0005-0000-0000-00009C020000}"/>
    <cellStyle name="Currency 2 2 2 4" xfId="288" xr:uid="{00000000-0005-0000-0000-00009D020000}"/>
    <cellStyle name="Currency 2 2 2 5" xfId="632" xr:uid="{00000000-0005-0000-0000-00009E020000}"/>
    <cellStyle name="Currency 2 2 2 6" xfId="730" xr:uid="{00000000-0005-0000-0000-00009F020000}"/>
    <cellStyle name="Currency 2 2 2 7" xfId="908" xr:uid="{00000000-0005-0000-0000-0000A0020000}"/>
    <cellStyle name="Currency 2 2 2 8" xfId="1175" xr:uid="{00000000-0005-0000-0000-0000A1020000}"/>
    <cellStyle name="Currency 2 2 3" xfId="30" xr:uid="{00000000-0005-0000-0000-0000A2020000}"/>
    <cellStyle name="Currency 2 2 3 10" xfId="614" xr:uid="{00000000-0005-0000-0000-0000A3020000}"/>
    <cellStyle name="Currency 2 2 3 11" xfId="864" xr:uid="{00000000-0005-0000-0000-0000A4020000}"/>
    <cellStyle name="Currency 2 2 3 12" xfId="1147" xr:uid="{00000000-0005-0000-0000-0000A5020000}"/>
    <cellStyle name="Currency 2 2 3 2" xfId="111" xr:uid="{00000000-0005-0000-0000-0000A6020000}"/>
    <cellStyle name="Currency 2 2 3 2 2" xfId="318" xr:uid="{00000000-0005-0000-0000-0000A7020000}"/>
    <cellStyle name="Currency 2 2 3 2 3" xfId="483" xr:uid="{00000000-0005-0000-0000-0000A8020000}"/>
    <cellStyle name="Currency 2 2 3 2 4" xfId="707" xr:uid="{00000000-0005-0000-0000-0000A9020000}"/>
    <cellStyle name="Currency 2 2 3 2 5" xfId="899" xr:uid="{00000000-0005-0000-0000-0000AA020000}"/>
    <cellStyle name="Currency 2 2 3 2 6" xfId="1081" xr:uid="{00000000-0005-0000-0000-0000AB020000}"/>
    <cellStyle name="Currency 2 2 3 2 7" xfId="1259" xr:uid="{00000000-0005-0000-0000-0000AC020000}"/>
    <cellStyle name="Currency 2 2 3 3" xfId="132" xr:uid="{00000000-0005-0000-0000-0000AD020000}"/>
    <cellStyle name="Currency 2 2 3 3 2" xfId="337" xr:uid="{00000000-0005-0000-0000-0000AE020000}"/>
    <cellStyle name="Currency 2 2 3 3 3" xfId="500" xr:uid="{00000000-0005-0000-0000-0000AF020000}"/>
    <cellStyle name="Currency 2 2 3 3 4" xfId="727" xr:uid="{00000000-0005-0000-0000-0000B0020000}"/>
    <cellStyle name="Currency 2 2 3 3 5" xfId="918" xr:uid="{00000000-0005-0000-0000-0000B1020000}"/>
    <cellStyle name="Currency 2 2 3 3 6" xfId="1100" xr:uid="{00000000-0005-0000-0000-0000B2020000}"/>
    <cellStyle name="Currency 2 2 3 3 7" xfId="1276" xr:uid="{00000000-0005-0000-0000-0000B3020000}"/>
    <cellStyle name="Currency 2 2 3 4" xfId="153" xr:uid="{00000000-0005-0000-0000-0000B4020000}"/>
    <cellStyle name="Currency 2 2 3 4 2" xfId="356" xr:uid="{00000000-0005-0000-0000-0000B5020000}"/>
    <cellStyle name="Currency 2 2 3 4 3" xfId="517" xr:uid="{00000000-0005-0000-0000-0000B6020000}"/>
    <cellStyle name="Currency 2 2 3 4 4" xfId="747" xr:uid="{00000000-0005-0000-0000-0000B7020000}"/>
    <cellStyle name="Currency 2 2 3 4 5" xfId="937" xr:uid="{00000000-0005-0000-0000-0000B8020000}"/>
    <cellStyle name="Currency 2 2 3 4 6" xfId="1120" xr:uid="{00000000-0005-0000-0000-0000B9020000}"/>
    <cellStyle name="Currency 2 2 3 4 7" xfId="1293" xr:uid="{00000000-0005-0000-0000-0000BA020000}"/>
    <cellStyle name="Currency 2 2 3 5" xfId="174" xr:uid="{00000000-0005-0000-0000-0000BB020000}"/>
    <cellStyle name="Currency 2 2 3 5 2" xfId="375" xr:uid="{00000000-0005-0000-0000-0000BC020000}"/>
    <cellStyle name="Currency 2 2 3 5 3" xfId="534" xr:uid="{00000000-0005-0000-0000-0000BD020000}"/>
    <cellStyle name="Currency 2 2 3 5 4" xfId="767" xr:uid="{00000000-0005-0000-0000-0000BE020000}"/>
    <cellStyle name="Currency 2 2 3 5 5" xfId="956" xr:uid="{00000000-0005-0000-0000-0000BF020000}"/>
    <cellStyle name="Currency 2 2 3 5 6" xfId="1139" xr:uid="{00000000-0005-0000-0000-0000C0020000}"/>
    <cellStyle name="Currency 2 2 3 5 7" xfId="1310" xr:uid="{00000000-0005-0000-0000-0000C1020000}"/>
    <cellStyle name="Currency 2 2 3 6" xfId="195" xr:uid="{00000000-0005-0000-0000-0000C2020000}"/>
    <cellStyle name="Currency 2 2 3 6 2" xfId="394" xr:uid="{00000000-0005-0000-0000-0000C3020000}"/>
    <cellStyle name="Currency 2 2 3 6 3" xfId="551" xr:uid="{00000000-0005-0000-0000-0000C4020000}"/>
    <cellStyle name="Currency 2 2 3 6 4" xfId="787" xr:uid="{00000000-0005-0000-0000-0000C5020000}"/>
    <cellStyle name="Currency 2 2 3 6 5" xfId="975" xr:uid="{00000000-0005-0000-0000-0000C6020000}"/>
    <cellStyle name="Currency 2 2 3 6 6" xfId="1158" xr:uid="{00000000-0005-0000-0000-0000C7020000}"/>
    <cellStyle name="Currency 2 2 3 6 7" xfId="1327" xr:uid="{00000000-0005-0000-0000-0000C8020000}"/>
    <cellStyle name="Currency 2 2 3 7" xfId="255" xr:uid="{00000000-0005-0000-0000-0000C9020000}"/>
    <cellStyle name="Currency 2 2 3 8" xfId="278" xr:uid="{00000000-0005-0000-0000-0000CA020000}"/>
    <cellStyle name="Currency 2 2 3 9" xfId="644" xr:uid="{00000000-0005-0000-0000-0000CB020000}"/>
    <cellStyle name="Currency 2 2 4" xfId="237" xr:uid="{00000000-0005-0000-0000-0000CC020000}"/>
    <cellStyle name="Currency 2 2 5" xfId="327" xr:uid="{00000000-0005-0000-0000-0000CD020000}"/>
    <cellStyle name="Currency 2 2 6" xfId="624" xr:uid="{00000000-0005-0000-0000-0000CE020000}"/>
    <cellStyle name="Currency 2 2 7" xfId="803" xr:uid="{00000000-0005-0000-0000-0000CF020000}"/>
    <cellStyle name="Currency 2 2 8" xfId="978" xr:uid="{00000000-0005-0000-0000-0000D0020000}"/>
    <cellStyle name="Currency 2 2 9" xfId="861" xr:uid="{00000000-0005-0000-0000-0000D1020000}"/>
    <cellStyle name="Currency 2 3" xfId="16" xr:uid="{00000000-0005-0000-0000-0000D2020000}"/>
    <cellStyle name="Currency 2 3 2" xfId="37" xr:uid="{00000000-0005-0000-0000-0000D3020000}"/>
    <cellStyle name="Currency 2 3 2 10" xfId="676" xr:uid="{00000000-0005-0000-0000-0000D4020000}"/>
    <cellStyle name="Currency 2 3 2 11" xfId="662" xr:uid="{00000000-0005-0000-0000-0000D5020000}"/>
    <cellStyle name="Currency 2 3 2 12" xfId="711" xr:uid="{00000000-0005-0000-0000-0000D6020000}"/>
    <cellStyle name="Currency 2 3 2 2" xfId="118" xr:uid="{00000000-0005-0000-0000-0000D7020000}"/>
    <cellStyle name="Currency 2 3 2 2 2" xfId="324" xr:uid="{00000000-0005-0000-0000-0000D8020000}"/>
    <cellStyle name="Currency 2 3 2 2 3" xfId="488" xr:uid="{00000000-0005-0000-0000-0000D9020000}"/>
    <cellStyle name="Currency 2 3 2 2 4" xfId="714" xr:uid="{00000000-0005-0000-0000-0000DA020000}"/>
    <cellStyle name="Currency 2 3 2 2 5" xfId="905" xr:uid="{00000000-0005-0000-0000-0000DB020000}"/>
    <cellStyle name="Currency 2 3 2 2 6" xfId="1088" xr:uid="{00000000-0005-0000-0000-0000DC020000}"/>
    <cellStyle name="Currency 2 3 2 2 7" xfId="1264" xr:uid="{00000000-0005-0000-0000-0000DD020000}"/>
    <cellStyle name="Currency 2 3 2 3" xfId="139" xr:uid="{00000000-0005-0000-0000-0000DE020000}"/>
    <cellStyle name="Currency 2 3 2 3 2" xfId="343" xr:uid="{00000000-0005-0000-0000-0000DF020000}"/>
    <cellStyle name="Currency 2 3 2 3 3" xfId="505" xr:uid="{00000000-0005-0000-0000-0000E0020000}"/>
    <cellStyle name="Currency 2 3 2 3 4" xfId="733" xr:uid="{00000000-0005-0000-0000-0000E1020000}"/>
    <cellStyle name="Currency 2 3 2 3 5" xfId="924" xr:uid="{00000000-0005-0000-0000-0000E2020000}"/>
    <cellStyle name="Currency 2 3 2 3 6" xfId="1107" xr:uid="{00000000-0005-0000-0000-0000E3020000}"/>
    <cellStyle name="Currency 2 3 2 3 7" xfId="1281" xr:uid="{00000000-0005-0000-0000-0000E4020000}"/>
    <cellStyle name="Currency 2 3 2 4" xfId="160" xr:uid="{00000000-0005-0000-0000-0000E5020000}"/>
    <cellStyle name="Currency 2 3 2 4 2" xfId="362" xr:uid="{00000000-0005-0000-0000-0000E6020000}"/>
    <cellStyle name="Currency 2 3 2 4 3" xfId="522" xr:uid="{00000000-0005-0000-0000-0000E7020000}"/>
    <cellStyle name="Currency 2 3 2 4 4" xfId="753" xr:uid="{00000000-0005-0000-0000-0000E8020000}"/>
    <cellStyle name="Currency 2 3 2 4 5" xfId="943" xr:uid="{00000000-0005-0000-0000-0000E9020000}"/>
    <cellStyle name="Currency 2 3 2 4 6" xfId="1127" xr:uid="{00000000-0005-0000-0000-0000EA020000}"/>
    <cellStyle name="Currency 2 3 2 4 7" xfId="1298" xr:uid="{00000000-0005-0000-0000-0000EB020000}"/>
    <cellStyle name="Currency 2 3 2 5" xfId="181" xr:uid="{00000000-0005-0000-0000-0000EC020000}"/>
    <cellStyle name="Currency 2 3 2 5 2" xfId="381" xr:uid="{00000000-0005-0000-0000-0000ED020000}"/>
    <cellStyle name="Currency 2 3 2 5 3" xfId="539" xr:uid="{00000000-0005-0000-0000-0000EE020000}"/>
    <cellStyle name="Currency 2 3 2 5 4" xfId="773" xr:uid="{00000000-0005-0000-0000-0000EF020000}"/>
    <cellStyle name="Currency 2 3 2 5 5" xfId="962" xr:uid="{00000000-0005-0000-0000-0000F0020000}"/>
    <cellStyle name="Currency 2 3 2 5 6" xfId="1144" xr:uid="{00000000-0005-0000-0000-0000F1020000}"/>
    <cellStyle name="Currency 2 3 2 5 7" xfId="1315" xr:uid="{00000000-0005-0000-0000-0000F2020000}"/>
    <cellStyle name="Currency 2 3 2 6" xfId="202" xr:uid="{00000000-0005-0000-0000-0000F3020000}"/>
    <cellStyle name="Currency 2 3 2 6 2" xfId="399" xr:uid="{00000000-0005-0000-0000-0000F4020000}"/>
    <cellStyle name="Currency 2 3 2 6 3" xfId="556" xr:uid="{00000000-0005-0000-0000-0000F5020000}"/>
    <cellStyle name="Currency 2 3 2 6 4" xfId="793" xr:uid="{00000000-0005-0000-0000-0000F6020000}"/>
    <cellStyle name="Currency 2 3 2 6 5" xfId="981" xr:uid="{00000000-0005-0000-0000-0000F7020000}"/>
    <cellStyle name="Currency 2 3 2 6 6" xfId="1164" xr:uid="{00000000-0005-0000-0000-0000F8020000}"/>
    <cellStyle name="Currency 2 3 2 6 7" xfId="1332" xr:uid="{00000000-0005-0000-0000-0000F9020000}"/>
    <cellStyle name="Currency 2 3 2 7" xfId="261" xr:uid="{00000000-0005-0000-0000-0000FA020000}"/>
    <cellStyle name="Currency 2 3 2 8" xfId="274" xr:uid="{00000000-0005-0000-0000-0000FB020000}"/>
    <cellStyle name="Currency 2 3 2 9" xfId="651" xr:uid="{00000000-0005-0000-0000-0000FC020000}"/>
    <cellStyle name="Currency 2 3 3" xfId="244" xr:uid="{00000000-0005-0000-0000-0000FD020000}"/>
    <cellStyle name="Currency 2 3 4" xfId="289" xr:uid="{00000000-0005-0000-0000-0000FE020000}"/>
    <cellStyle name="Currency 2 3 5" xfId="631" xr:uid="{00000000-0005-0000-0000-0000FF020000}"/>
    <cellStyle name="Currency 2 3 6" xfId="750" xr:uid="{00000000-0005-0000-0000-000000030000}"/>
    <cellStyle name="Currency 2 3 7" xfId="927" xr:uid="{00000000-0005-0000-0000-000001030000}"/>
    <cellStyle name="Currency 2 3 8" xfId="1174" xr:uid="{00000000-0005-0000-0000-000002030000}"/>
    <cellStyle name="Currency 2 4" xfId="29" xr:uid="{00000000-0005-0000-0000-000003030000}"/>
    <cellStyle name="Currency 2 4 10" xfId="814" xr:uid="{00000000-0005-0000-0000-000004030000}"/>
    <cellStyle name="Currency 2 4 11" xfId="865" xr:uid="{00000000-0005-0000-0000-000005030000}"/>
    <cellStyle name="Currency 2 4 12" xfId="1167" xr:uid="{00000000-0005-0000-0000-000006030000}"/>
    <cellStyle name="Currency 2 4 2" xfId="110" xr:uid="{00000000-0005-0000-0000-000007030000}"/>
    <cellStyle name="Currency 2 4 2 2" xfId="317" xr:uid="{00000000-0005-0000-0000-000008030000}"/>
    <cellStyle name="Currency 2 4 2 3" xfId="482" xr:uid="{00000000-0005-0000-0000-000009030000}"/>
    <cellStyle name="Currency 2 4 2 4" xfId="706" xr:uid="{00000000-0005-0000-0000-00000A030000}"/>
    <cellStyle name="Currency 2 4 2 5" xfId="898" xr:uid="{00000000-0005-0000-0000-00000B030000}"/>
    <cellStyle name="Currency 2 4 2 6" xfId="1080" xr:uid="{00000000-0005-0000-0000-00000C030000}"/>
    <cellStyle name="Currency 2 4 2 7" xfId="1258" xr:uid="{00000000-0005-0000-0000-00000D030000}"/>
    <cellStyle name="Currency 2 4 3" xfId="131" xr:uid="{00000000-0005-0000-0000-00000E030000}"/>
    <cellStyle name="Currency 2 4 3 2" xfId="336" xr:uid="{00000000-0005-0000-0000-00000F030000}"/>
    <cellStyle name="Currency 2 4 3 3" xfId="499" xr:uid="{00000000-0005-0000-0000-000010030000}"/>
    <cellStyle name="Currency 2 4 3 4" xfId="726" xr:uid="{00000000-0005-0000-0000-000011030000}"/>
    <cellStyle name="Currency 2 4 3 5" xfId="917" xr:uid="{00000000-0005-0000-0000-000012030000}"/>
    <cellStyle name="Currency 2 4 3 6" xfId="1099" xr:uid="{00000000-0005-0000-0000-000013030000}"/>
    <cellStyle name="Currency 2 4 3 7" xfId="1275" xr:uid="{00000000-0005-0000-0000-000014030000}"/>
    <cellStyle name="Currency 2 4 4" xfId="152" xr:uid="{00000000-0005-0000-0000-000015030000}"/>
    <cellStyle name="Currency 2 4 4 2" xfId="355" xr:uid="{00000000-0005-0000-0000-000016030000}"/>
    <cellStyle name="Currency 2 4 4 3" xfId="516" xr:uid="{00000000-0005-0000-0000-000017030000}"/>
    <cellStyle name="Currency 2 4 4 4" xfId="746" xr:uid="{00000000-0005-0000-0000-000018030000}"/>
    <cellStyle name="Currency 2 4 4 5" xfId="936" xr:uid="{00000000-0005-0000-0000-000019030000}"/>
    <cellStyle name="Currency 2 4 4 6" xfId="1119" xr:uid="{00000000-0005-0000-0000-00001A030000}"/>
    <cellStyle name="Currency 2 4 4 7" xfId="1292" xr:uid="{00000000-0005-0000-0000-00001B030000}"/>
    <cellStyle name="Currency 2 4 5" xfId="173" xr:uid="{00000000-0005-0000-0000-00001C030000}"/>
    <cellStyle name="Currency 2 4 5 2" xfId="374" xr:uid="{00000000-0005-0000-0000-00001D030000}"/>
    <cellStyle name="Currency 2 4 5 3" xfId="533" xr:uid="{00000000-0005-0000-0000-00001E030000}"/>
    <cellStyle name="Currency 2 4 5 4" xfId="766" xr:uid="{00000000-0005-0000-0000-00001F030000}"/>
    <cellStyle name="Currency 2 4 5 5" xfId="955" xr:uid="{00000000-0005-0000-0000-000020030000}"/>
    <cellStyle name="Currency 2 4 5 6" xfId="1138" xr:uid="{00000000-0005-0000-0000-000021030000}"/>
    <cellStyle name="Currency 2 4 5 7" xfId="1309" xr:uid="{00000000-0005-0000-0000-000022030000}"/>
    <cellStyle name="Currency 2 4 6" xfId="194" xr:uid="{00000000-0005-0000-0000-000023030000}"/>
    <cellStyle name="Currency 2 4 6 2" xfId="393" xr:uid="{00000000-0005-0000-0000-000024030000}"/>
    <cellStyle name="Currency 2 4 6 3" xfId="550" xr:uid="{00000000-0005-0000-0000-000025030000}"/>
    <cellStyle name="Currency 2 4 6 4" xfId="786" xr:uid="{00000000-0005-0000-0000-000026030000}"/>
    <cellStyle name="Currency 2 4 6 5" xfId="974" xr:uid="{00000000-0005-0000-0000-000027030000}"/>
    <cellStyle name="Currency 2 4 6 6" xfId="1157" xr:uid="{00000000-0005-0000-0000-000028030000}"/>
    <cellStyle name="Currency 2 4 6 7" xfId="1326" xr:uid="{00000000-0005-0000-0000-000029030000}"/>
    <cellStyle name="Currency 2 4 7" xfId="254" xr:uid="{00000000-0005-0000-0000-00002A030000}"/>
    <cellStyle name="Currency 2 4 8" xfId="279" xr:uid="{00000000-0005-0000-0000-00002B030000}"/>
    <cellStyle name="Currency 2 4 9" xfId="643" xr:uid="{00000000-0005-0000-0000-00002C030000}"/>
    <cellStyle name="Currency 2 5" xfId="87" xr:uid="{00000000-0005-0000-0000-00002D030000}"/>
    <cellStyle name="Currency 2 6" xfId="225" xr:uid="{00000000-0005-0000-0000-00002E030000}"/>
    <cellStyle name="Currency 2 6 2" xfId="415" xr:uid="{00000000-0005-0000-0000-00002F030000}"/>
    <cellStyle name="Currency 2 6 3" xfId="572" xr:uid="{00000000-0005-0000-0000-000030030000}"/>
    <cellStyle name="Currency 2 6 4" xfId="816" xr:uid="{00000000-0005-0000-0000-000031030000}"/>
    <cellStyle name="Currency 2 6 5" xfId="1002" xr:uid="{00000000-0005-0000-0000-000032030000}"/>
    <cellStyle name="Currency 2 6 6" xfId="1186" xr:uid="{00000000-0005-0000-0000-000033030000}"/>
    <cellStyle name="Currency 2 6 7" xfId="1348" xr:uid="{00000000-0005-0000-0000-000034030000}"/>
    <cellStyle name="Currency 2 6 8" xfId="1453" xr:uid="{00000000-0005-0000-0000-000035030000}"/>
    <cellStyle name="Currency 2 6 9" xfId="1509" xr:uid="{00000000-0005-0000-0000-000036030000}"/>
    <cellStyle name="Currency 2 7" xfId="230" xr:uid="{00000000-0005-0000-0000-000037030000}"/>
    <cellStyle name="Currency 2 8" xfId="340" xr:uid="{00000000-0005-0000-0000-000038030000}"/>
    <cellStyle name="Currency 2 9" xfId="617" xr:uid="{00000000-0005-0000-0000-000039030000}"/>
    <cellStyle name="Currency 3" xfId="8" xr:uid="{00000000-0005-0000-0000-00003A030000}"/>
    <cellStyle name="Currency 3 2" xfId="22" xr:uid="{00000000-0005-0000-0000-00003B030000}"/>
    <cellStyle name="Currency 3 2 2" xfId="249" xr:uid="{00000000-0005-0000-0000-00003C030000}"/>
    <cellStyle name="Currency 3 2 3" xfId="284" xr:uid="{00000000-0005-0000-0000-00003D030000}"/>
    <cellStyle name="Currency 3 2 4" xfId="637" xr:uid="{00000000-0005-0000-0000-00003E030000}"/>
    <cellStyle name="Currency 3 2 5" xfId="756" xr:uid="{00000000-0005-0000-0000-00003F030000}"/>
    <cellStyle name="Currency 3 2 6" xfId="1000" xr:uid="{00000000-0005-0000-0000-000040030000}"/>
    <cellStyle name="Currency 3 2 7" xfId="902" xr:uid="{00000000-0005-0000-0000-000041030000}"/>
    <cellStyle name="Currency 3 3" xfId="238" xr:uid="{00000000-0005-0000-0000-000042030000}"/>
    <cellStyle name="Currency 3 4" xfId="264" xr:uid="{00000000-0005-0000-0000-000043030000}"/>
    <cellStyle name="Currency 3 5" xfId="625" xr:uid="{00000000-0005-0000-0000-000044030000}"/>
    <cellStyle name="Currency 3 6" xfId="805" xr:uid="{00000000-0005-0000-0000-000045030000}"/>
    <cellStyle name="Currency 3 7" xfId="959" xr:uid="{00000000-0005-0000-0000-000046030000}"/>
    <cellStyle name="Currency 3 8" xfId="1168" xr:uid="{00000000-0005-0000-0000-000047030000}"/>
    <cellStyle name="Currency 4" xfId="9" xr:uid="{00000000-0005-0000-0000-000048030000}"/>
    <cellStyle name="Currency 4 2" xfId="18" xr:uid="{00000000-0005-0000-0000-000049030000}"/>
    <cellStyle name="Currency 4 2 2" xfId="39" xr:uid="{00000000-0005-0000-0000-00004A030000}"/>
    <cellStyle name="Currency 4 2 2 10" xfId="674" xr:uid="{00000000-0005-0000-0000-00004B030000}"/>
    <cellStyle name="Currency 4 2 2 11" xfId="664" xr:uid="{00000000-0005-0000-0000-00004C030000}"/>
    <cellStyle name="Currency 4 2 2 12" xfId="672" xr:uid="{00000000-0005-0000-0000-00004D030000}"/>
    <cellStyle name="Currency 4 2 2 2" xfId="120" xr:uid="{00000000-0005-0000-0000-00004E030000}"/>
    <cellStyle name="Currency 4 2 2 2 2" xfId="326" xr:uid="{00000000-0005-0000-0000-00004F030000}"/>
    <cellStyle name="Currency 4 2 2 2 3" xfId="490" xr:uid="{00000000-0005-0000-0000-000050030000}"/>
    <cellStyle name="Currency 4 2 2 2 4" xfId="716" xr:uid="{00000000-0005-0000-0000-000051030000}"/>
    <cellStyle name="Currency 4 2 2 2 5" xfId="907" xr:uid="{00000000-0005-0000-0000-000052030000}"/>
    <cellStyle name="Currency 4 2 2 2 6" xfId="1090" xr:uid="{00000000-0005-0000-0000-000053030000}"/>
    <cellStyle name="Currency 4 2 2 2 7" xfId="1266" xr:uid="{00000000-0005-0000-0000-000054030000}"/>
    <cellStyle name="Currency 4 2 2 3" xfId="141" xr:uid="{00000000-0005-0000-0000-000055030000}"/>
    <cellStyle name="Currency 4 2 2 3 2" xfId="345" xr:uid="{00000000-0005-0000-0000-000056030000}"/>
    <cellStyle name="Currency 4 2 2 3 3" xfId="507" xr:uid="{00000000-0005-0000-0000-000057030000}"/>
    <cellStyle name="Currency 4 2 2 3 4" xfId="735" xr:uid="{00000000-0005-0000-0000-000058030000}"/>
    <cellStyle name="Currency 4 2 2 3 5" xfId="926" xr:uid="{00000000-0005-0000-0000-000059030000}"/>
    <cellStyle name="Currency 4 2 2 3 6" xfId="1109" xr:uid="{00000000-0005-0000-0000-00005A030000}"/>
    <cellStyle name="Currency 4 2 2 3 7" xfId="1283" xr:uid="{00000000-0005-0000-0000-00005B030000}"/>
    <cellStyle name="Currency 4 2 2 4" xfId="162" xr:uid="{00000000-0005-0000-0000-00005C030000}"/>
    <cellStyle name="Currency 4 2 2 4 2" xfId="364" xr:uid="{00000000-0005-0000-0000-00005D030000}"/>
    <cellStyle name="Currency 4 2 2 4 3" xfId="524" xr:uid="{00000000-0005-0000-0000-00005E030000}"/>
    <cellStyle name="Currency 4 2 2 4 4" xfId="755" xr:uid="{00000000-0005-0000-0000-00005F030000}"/>
    <cellStyle name="Currency 4 2 2 4 5" xfId="945" xr:uid="{00000000-0005-0000-0000-000060030000}"/>
    <cellStyle name="Currency 4 2 2 4 6" xfId="1129" xr:uid="{00000000-0005-0000-0000-000061030000}"/>
    <cellStyle name="Currency 4 2 2 4 7" xfId="1300" xr:uid="{00000000-0005-0000-0000-000062030000}"/>
    <cellStyle name="Currency 4 2 2 5" xfId="183" xr:uid="{00000000-0005-0000-0000-000063030000}"/>
    <cellStyle name="Currency 4 2 2 5 2" xfId="383" xr:uid="{00000000-0005-0000-0000-000064030000}"/>
    <cellStyle name="Currency 4 2 2 5 3" xfId="541" xr:uid="{00000000-0005-0000-0000-000065030000}"/>
    <cellStyle name="Currency 4 2 2 5 4" xfId="775" xr:uid="{00000000-0005-0000-0000-000066030000}"/>
    <cellStyle name="Currency 4 2 2 5 5" xfId="964" xr:uid="{00000000-0005-0000-0000-000067030000}"/>
    <cellStyle name="Currency 4 2 2 5 6" xfId="1146" xr:uid="{00000000-0005-0000-0000-000068030000}"/>
    <cellStyle name="Currency 4 2 2 5 7" xfId="1317" xr:uid="{00000000-0005-0000-0000-000069030000}"/>
    <cellStyle name="Currency 4 2 2 6" xfId="204" xr:uid="{00000000-0005-0000-0000-00006A030000}"/>
    <cellStyle name="Currency 4 2 2 6 2" xfId="401" xr:uid="{00000000-0005-0000-0000-00006B030000}"/>
    <cellStyle name="Currency 4 2 2 6 3" xfId="558" xr:uid="{00000000-0005-0000-0000-00006C030000}"/>
    <cellStyle name="Currency 4 2 2 6 4" xfId="795" xr:uid="{00000000-0005-0000-0000-00006D030000}"/>
    <cellStyle name="Currency 4 2 2 6 5" xfId="983" xr:uid="{00000000-0005-0000-0000-00006E030000}"/>
    <cellStyle name="Currency 4 2 2 6 6" xfId="1166" xr:uid="{00000000-0005-0000-0000-00006F030000}"/>
    <cellStyle name="Currency 4 2 2 6 7" xfId="1334" xr:uid="{00000000-0005-0000-0000-000070030000}"/>
    <cellStyle name="Currency 4 2 2 7" xfId="263" xr:uid="{00000000-0005-0000-0000-000071030000}"/>
    <cellStyle name="Currency 4 2 2 8" xfId="272" xr:uid="{00000000-0005-0000-0000-000072030000}"/>
    <cellStyle name="Currency 4 2 2 9" xfId="653" xr:uid="{00000000-0005-0000-0000-000073030000}"/>
    <cellStyle name="Currency 4 2 3" xfId="246" xr:uid="{00000000-0005-0000-0000-000074030000}"/>
    <cellStyle name="Currency 4 2 4" xfId="287" xr:uid="{00000000-0005-0000-0000-000075030000}"/>
    <cellStyle name="Currency 4 2 5" xfId="633" xr:uid="{00000000-0005-0000-0000-000076030000}"/>
    <cellStyle name="Currency 4 2 6" xfId="710" xr:uid="{00000000-0005-0000-0000-000077030000}"/>
    <cellStyle name="Currency 4 2 7" xfId="673" xr:uid="{00000000-0005-0000-0000-000078030000}"/>
    <cellStyle name="Currency 4 2 8" xfId="1173" xr:uid="{00000000-0005-0000-0000-000079030000}"/>
    <cellStyle name="Currency 4 3" xfId="32" xr:uid="{00000000-0005-0000-0000-00007A030000}"/>
    <cellStyle name="Currency 4 3 10" xfId="679" xr:uid="{00000000-0005-0000-0000-00007B030000}"/>
    <cellStyle name="Currency 4 3 11" xfId="717" xr:uid="{00000000-0005-0000-0000-00007C030000}"/>
    <cellStyle name="Currency 4 3 12" xfId="1110" xr:uid="{00000000-0005-0000-0000-00007D030000}"/>
    <cellStyle name="Currency 4 3 2" xfId="113" xr:uid="{00000000-0005-0000-0000-00007E030000}"/>
    <cellStyle name="Currency 4 3 2 2" xfId="320" xr:uid="{00000000-0005-0000-0000-00007F030000}"/>
    <cellStyle name="Currency 4 3 2 3" xfId="485" xr:uid="{00000000-0005-0000-0000-000080030000}"/>
    <cellStyle name="Currency 4 3 2 4" xfId="709" xr:uid="{00000000-0005-0000-0000-000081030000}"/>
    <cellStyle name="Currency 4 3 2 5" xfId="901" xr:uid="{00000000-0005-0000-0000-000082030000}"/>
    <cellStyle name="Currency 4 3 2 6" xfId="1083" xr:uid="{00000000-0005-0000-0000-000083030000}"/>
    <cellStyle name="Currency 4 3 2 7" xfId="1261" xr:uid="{00000000-0005-0000-0000-000084030000}"/>
    <cellStyle name="Currency 4 3 3" xfId="134" xr:uid="{00000000-0005-0000-0000-000085030000}"/>
    <cellStyle name="Currency 4 3 3 2" xfId="339" xr:uid="{00000000-0005-0000-0000-000086030000}"/>
    <cellStyle name="Currency 4 3 3 3" xfId="502" xr:uid="{00000000-0005-0000-0000-000087030000}"/>
    <cellStyle name="Currency 4 3 3 4" xfId="729" xr:uid="{00000000-0005-0000-0000-000088030000}"/>
    <cellStyle name="Currency 4 3 3 5" xfId="920" xr:uid="{00000000-0005-0000-0000-000089030000}"/>
    <cellStyle name="Currency 4 3 3 6" xfId="1102" xr:uid="{00000000-0005-0000-0000-00008A030000}"/>
    <cellStyle name="Currency 4 3 3 7" xfId="1278" xr:uid="{00000000-0005-0000-0000-00008B030000}"/>
    <cellStyle name="Currency 4 3 4" xfId="155" xr:uid="{00000000-0005-0000-0000-00008C030000}"/>
    <cellStyle name="Currency 4 3 4 2" xfId="358" xr:uid="{00000000-0005-0000-0000-00008D030000}"/>
    <cellStyle name="Currency 4 3 4 3" xfId="519" xr:uid="{00000000-0005-0000-0000-00008E030000}"/>
    <cellStyle name="Currency 4 3 4 4" xfId="749" xr:uid="{00000000-0005-0000-0000-00008F030000}"/>
    <cellStyle name="Currency 4 3 4 5" xfId="939" xr:uid="{00000000-0005-0000-0000-000090030000}"/>
    <cellStyle name="Currency 4 3 4 6" xfId="1122" xr:uid="{00000000-0005-0000-0000-000091030000}"/>
    <cellStyle name="Currency 4 3 4 7" xfId="1295" xr:uid="{00000000-0005-0000-0000-000092030000}"/>
    <cellStyle name="Currency 4 3 5" xfId="176" xr:uid="{00000000-0005-0000-0000-000093030000}"/>
    <cellStyle name="Currency 4 3 5 2" xfId="377" xr:uid="{00000000-0005-0000-0000-000094030000}"/>
    <cellStyle name="Currency 4 3 5 3" xfId="536" xr:uid="{00000000-0005-0000-0000-000095030000}"/>
    <cellStyle name="Currency 4 3 5 4" xfId="769" xr:uid="{00000000-0005-0000-0000-000096030000}"/>
    <cellStyle name="Currency 4 3 5 5" xfId="958" xr:uid="{00000000-0005-0000-0000-000097030000}"/>
    <cellStyle name="Currency 4 3 5 6" xfId="1141" xr:uid="{00000000-0005-0000-0000-000098030000}"/>
    <cellStyle name="Currency 4 3 5 7" xfId="1312" xr:uid="{00000000-0005-0000-0000-000099030000}"/>
    <cellStyle name="Currency 4 3 6" xfId="197" xr:uid="{00000000-0005-0000-0000-00009A030000}"/>
    <cellStyle name="Currency 4 3 6 2" xfId="396" xr:uid="{00000000-0005-0000-0000-00009B030000}"/>
    <cellStyle name="Currency 4 3 6 3" xfId="553" xr:uid="{00000000-0005-0000-0000-00009C030000}"/>
    <cellStyle name="Currency 4 3 6 4" xfId="789" xr:uid="{00000000-0005-0000-0000-00009D030000}"/>
    <cellStyle name="Currency 4 3 6 5" xfId="977" xr:uid="{00000000-0005-0000-0000-00009E030000}"/>
    <cellStyle name="Currency 4 3 6 6" xfId="1160" xr:uid="{00000000-0005-0000-0000-00009F030000}"/>
    <cellStyle name="Currency 4 3 6 7" xfId="1329" xr:uid="{00000000-0005-0000-0000-0000A0030000}"/>
    <cellStyle name="Currency 4 3 7" xfId="257" xr:uid="{00000000-0005-0000-0000-0000A1030000}"/>
    <cellStyle name="Currency 4 3 8" xfId="277" xr:uid="{00000000-0005-0000-0000-0000A2030000}"/>
    <cellStyle name="Currency 4 3 9" xfId="646" xr:uid="{00000000-0005-0000-0000-0000A3030000}"/>
    <cellStyle name="Currency 4 4" xfId="239" xr:uid="{00000000-0005-0000-0000-0000A4030000}"/>
    <cellStyle name="Currency 4 5" xfId="247" xr:uid="{00000000-0005-0000-0000-0000A5030000}"/>
    <cellStyle name="Currency 4 6" xfId="626" xr:uid="{00000000-0005-0000-0000-0000A6030000}"/>
    <cellStyle name="Currency 4 7" xfId="802" xr:uid="{00000000-0005-0000-0000-0000A7030000}"/>
    <cellStyle name="Currency 4 8" xfId="940" xr:uid="{00000000-0005-0000-0000-0000A8030000}"/>
    <cellStyle name="Currency 4 9" xfId="1148" xr:uid="{00000000-0005-0000-0000-0000A9030000}"/>
    <cellStyle name="Currency 5" xfId="28" xr:uid="{00000000-0005-0000-0000-0000AA030000}"/>
    <cellStyle name="Currency 5 10" xfId="638" xr:uid="{00000000-0005-0000-0000-0000AB030000}"/>
    <cellStyle name="Currency 5 11" xfId="866" xr:uid="{00000000-0005-0000-0000-0000AC030000}"/>
    <cellStyle name="Currency 5 12" xfId="863" xr:uid="{00000000-0005-0000-0000-0000AD030000}"/>
    <cellStyle name="Currency 5 2" xfId="109" xr:uid="{00000000-0005-0000-0000-0000AE030000}"/>
    <cellStyle name="Currency 5 2 2" xfId="316" xr:uid="{00000000-0005-0000-0000-0000AF030000}"/>
    <cellStyle name="Currency 5 2 3" xfId="481" xr:uid="{00000000-0005-0000-0000-0000B0030000}"/>
    <cellStyle name="Currency 5 2 4" xfId="705" xr:uid="{00000000-0005-0000-0000-0000B1030000}"/>
    <cellStyle name="Currency 5 2 5" xfId="897" xr:uid="{00000000-0005-0000-0000-0000B2030000}"/>
    <cellStyle name="Currency 5 2 6" xfId="1079" xr:uid="{00000000-0005-0000-0000-0000B3030000}"/>
    <cellStyle name="Currency 5 2 7" xfId="1257" xr:uid="{00000000-0005-0000-0000-0000B4030000}"/>
    <cellStyle name="Currency 5 3" xfId="130" xr:uid="{00000000-0005-0000-0000-0000B5030000}"/>
    <cellStyle name="Currency 5 3 2" xfId="335" xr:uid="{00000000-0005-0000-0000-0000B6030000}"/>
    <cellStyle name="Currency 5 3 3" xfId="498" xr:uid="{00000000-0005-0000-0000-0000B7030000}"/>
    <cellStyle name="Currency 5 3 4" xfId="725" xr:uid="{00000000-0005-0000-0000-0000B8030000}"/>
    <cellStyle name="Currency 5 3 5" xfId="916" xr:uid="{00000000-0005-0000-0000-0000B9030000}"/>
    <cellStyle name="Currency 5 3 6" xfId="1098" xr:uid="{00000000-0005-0000-0000-0000BA030000}"/>
    <cellStyle name="Currency 5 3 7" xfId="1274" xr:uid="{00000000-0005-0000-0000-0000BB030000}"/>
    <cellStyle name="Currency 5 4" xfId="151" xr:uid="{00000000-0005-0000-0000-0000BC030000}"/>
    <cellStyle name="Currency 5 4 2" xfId="354" xr:uid="{00000000-0005-0000-0000-0000BD030000}"/>
    <cellStyle name="Currency 5 4 3" xfId="515" xr:uid="{00000000-0005-0000-0000-0000BE030000}"/>
    <cellStyle name="Currency 5 4 4" xfId="745" xr:uid="{00000000-0005-0000-0000-0000BF030000}"/>
    <cellStyle name="Currency 5 4 5" xfId="935" xr:uid="{00000000-0005-0000-0000-0000C0030000}"/>
    <cellStyle name="Currency 5 4 6" xfId="1118" xr:uid="{00000000-0005-0000-0000-0000C1030000}"/>
    <cellStyle name="Currency 5 4 7" xfId="1291" xr:uid="{00000000-0005-0000-0000-0000C2030000}"/>
    <cellStyle name="Currency 5 5" xfId="172" xr:uid="{00000000-0005-0000-0000-0000C3030000}"/>
    <cellStyle name="Currency 5 5 2" xfId="373" xr:uid="{00000000-0005-0000-0000-0000C4030000}"/>
    <cellStyle name="Currency 5 5 3" xfId="532" xr:uid="{00000000-0005-0000-0000-0000C5030000}"/>
    <cellStyle name="Currency 5 5 4" xfId="765" xr:uid="{00000000-0005-0000-0000-0000C6030000}"/>
    <cellStyle name="Currency 5 5 5" xfId="954" xr:uid="{00000000-0005-0000-0000-0000C7030000}"/>
    <cellStyle name="Currency 5 5 6" xfId="1137" xr:uid="{00000000-0005-0000-0000-0000C8030000}"/>
    <cellStyle name="Currency 5 5 7" xfId="1308" xr:uid="{00000000-0005-0000-0000-0000C9030000}"/>
    <cellStyle name="Currency 5 6" xfId="193" xr:uid="{00000000-0005-0000-0000-0000CA030000}"/>
    <cellStyle name="Currency 5 6 2" xfId="392" xr:uid="{00000000-0005-0000-0000-0000CB030000}"/>
    <cellStyle name="Currency 5 6 3" xfId="549" xr:uid="{00000000-0005-0000-0000-0000CC030000}"/>
    <cellStyle name="Currency 5 6 4" xfId="785" xr:uid="{00000000-0005-0000-0000-0000CD030000}"/>
    <cellStyle name="Currency 5 6 5" xfId="973" xr:uid="{00000000-0005-0000-0000-0000CE030000}"/>
    <cellStyle name="Currency 5 6 6" xfId="1156" xr:uid="{00000000-0005-0000-0000-0000CF030000}"/>
    <cellStyle name="Currency 5 6 7" xfId="1325" xr:uid="{00000000-0005-0000-0000-0000D0030000}"/>
    <cellStyle name="Currency 5 7" xfId="253" xr:uid="{00000000-0005-0000-0000-0000D1030000}"/>
    <cellStyle name="Currency 5 8" xfId="280" xr:uid="{00000000-0005-0000-0000-0000D2030000}"/>
    <cellStyle name="Currency 5 9" xfId="642" xr:uid="{00000000-0005-0000-0000-0000D3030000}"/>
    <cellStyle name="Currency 6" xfId="43" xr:uid="{00000000-0005-0000-0000-0000D4030000}"/>
    <cellStyle name="Currency 6 10" xfId="620" xr:uid="{00000000-0005-0000-0000-0000D5030000}"/>
    <cellStyle name="Currency 6 10 2" xfId="1748" xr:uid="{00000000-0005-0000-0000-0000D6030000}"/>
    <cellStyle name="Currency 6 11" xfId="666" xr:uid="{00000000-0005-0000-0000-0000D7030000}"/>
    <cellStyle name="Currency 6 11 2" xfId="1753" xr:uid="{00000000-0005-0000-0000-0000D8030000}"/>
    <cellStyle name="Currency 6 12" xfId="1050" xr:uid="{00000000-0005-0000-0000-0000D9030000}"/>
    <cellStyle name="Currency 6 12 2" xfId="1940" xr:uid="{00000000-0005-0000-0000-0000DA030000}"/>
    <cellStyle name="Currency 6 13" xfId="1425" xr:uid="{00000000-0005-0000-0000-0000DB030000}"/>
    <cellStyle name="Currency 6 13 2" xfId="2154" xr:uid="{00000000-0005-0000-0000-0000DC030000}"/>
    <cellStyle name="Currency 6 14" xfId="1446" xr:uid="{00000000-0005-0000-0000-0000DD030000}"/>
    <cellStyle name="Currency 6 14 2" xfId="2174" xr:uid="{00000000-0005-0000-0000-0000DE030000}"/>
    <cellStyle name="Currency 6 15" xfId="1517" xr:uid="{00000000-0005-0000-0000-0000DF030000}"/>
    <cellStyle name="Currency 6 2" xfId="124" xr:uid="{00000000-0005-0000-0000-0000E0030000}"/>
    <cellStyle name="Currency 6 2 10" xfId="1537" xr:uid="{00000000-0005-0000-0000-0000E1030000}"/>
    <cellStyle name="Currency 6 2 2" xfId="329" xr:uid="{00000000-0005-0000-0000-0000E2030000}"/>
    <cellStyle name="Currency 6 2 2 2" xfId="1593" xr:uid="{00000000-0005-0000-0000-0000E3030000}"/>
    <cellStyle name="Currency 6 2 3" xfId="492" xr:uid="{00000000-0005-0000-0000-0000E4030000}"/>
    <cellStyle name="Currency 6 2 3 2" xfId="1678" xr:uid="{00000000-0005-0000-0000-0000E5030000}"/>
    <cellStyle name="Currency 6 2 4" xfId="719" xr:uid="{00000000-0005-0000-0000-0000E6030000}"/>
    <cellStyle name="Currency 6 2 4 2" xfId="1775" xr:uid="{00000000-0005-0000-0000-0000E7030000}"/>
    <cellStyle name="Currency 6 2 5" xfId="910" xr:uid="{00000000-0005-0000-0000-0000E8030000}"/>
    <cellStyle name="Currency 6 2 5 2" xfId="1864" xr:uid="{00000000-0005-0000-0000-0000E9030000}"/>
    <cellStyle name="Currency 6 2 6" xfId="1092" xr:uid="{00000000-0005-0000-0000-0000EA030000}"/>
    <cellStyle name="Currency 6 2 6 2" xfId="1959" xr:uid="{00000000-0005-0000-0000-0000EB030000}"/>
    <cellStyle name="Currency 6 2 7" xfId="1268" xr:uid="{00000000-0005-0000-0000-0000EC030000}"/>
    <cellStyle name="Currency 6 2 7 2" xfId="2049" xr:uid="{00000000-0005-0000-0000-0000ED030000}"/>
    <cellStyle name="Currency 6 2 8" xfId="1445" xr:uid="{00000000-0005-0000-0000-0000EE030000}"/>
    <cellStyle name="Currency 6 2 8 2" xfId="2173" xr:uid="{00000000-0005-0000-0000-0000EF030000}"/>
    <cellStyle name="Currency 6 2 9" xfId="1479" xr:uid="{00000000-0005-0000-0000-0000F0030000}"/>
    <cellStyle name="Currency 6 2 9 2" xfId="2206" xr:uid="{00000000-0005-0000-0000-0000F1030000}"/>
    <cellStyle name="Currency 6 3" xfId="145" xr:uid="{00000000-0005-0000-0000-0000F2030000}"/>
    <cellStyle name="Currency 6 3 10" xfId="1542" xr:uid="{00000000-0005-0000-0000-0000F3030000}"/>
    <cellStyle name="Currency 6 3 2" xfId="348" xr:uid="{00000000-0005-0000-0000-0000F4030000}"/>
    <cellStyle name="Currency 6 3 2 2" xfId="1598" xr:uid="{00000000-0005-0000-0000-0000F5030000}"/>
    <cellStyle name="Currency 6 3 3" xfId="509" xr:uid="{00000000-0005-0000-0000-0000F6030000}"/>
    <cellStyle name="Currency 6 3 3 2" xfId="1683" xr:uid="{00000000-0005-0000-0000-0000F7030000}"/>
    <cellStyle name="Currency 6 3 4" xfId="739" xr:uid="{00000000-0005-0000-0000-0000F8030000}"/>
    <cellStyle name="Currency 6 3 4 2" xfId="1780" xr:uid="{00000000-0005-0000-0000-0000F9030000}"/>
    <cellStyle name="Currency 6 3 5" xfId="929" xr:uid="{00000000-0005-0000-0000-0000FA030000}"/>
    <cellStyle name="Currency 6 3 5 2" xfId="1869" xr:uid="{00000000-0005-0000-0000-0000FB030000}"/>
    <cellStyle name="Currency 6 3 6" xfId="1112" xr:uid="{00000000-0005-0000-0000-0000FC030000}"/>
    <cellStyle name="Currency 6 3 6 2" xfId="1964" xr:uid="{00000000-0005-0000-0000-0000FD030000}"/>
    <cellStyle name="Currency 6 3 7" xfId="1285" xr:uid="{00000000-0005-0000-0000-0000FE030000}"/>
    <cellStyle name="Currency 6 3 7 2" xfId="2054" xr:uid="{00000000-0005-0000-0000-0000FF030000}"/>
    <cellStyle name="Currency 6 3 8" xfId="1417" xr:uid="{00000000-0005-0000-0000-000000040000}"/>
    <cellStyle name="Currency 6 3 8 2" xfId="2146" xr:uid="{00000000-0005-0000-0000-000001040000}"/>
    <cellStyle name="Currency 6 3 9" xfId="1484" xr:uid="{00000000-0005-0000-0000-000002040000}"/>
    <cellStyle name="Currency 6 3 9 2" xfId="2211" xr:uid="{00000000-0005-0000-0000-000003040000}"/>
    <cellStyle name="Currency 6 4" xfId="166" xr:uid="{00000000-0005-0000-0000-000004040000}"/>
    <cellStyle name="Currency 6 4 10" xfId="1547" xr:uid="{00000000-0005-0000-0000-000005040000}"/>
    <cellStyle name="Currency 6 4 2" xfId="367" xr:uid="{00000000-0005-0000-0000-000006040000}"/>
    <cellStyle name="Currency 6 4 2 2" xfId="1603" xr:uid="{00000000-0005-0000-0000-000007040000}"/>
    <cellStyle name="Currency 6 4 3" xfId="526" xr:uid="{00000000-0005-0000-0000-000008040000}"/>
    <cellStyle name="Currency 6 4 3 2" xfId="1688" xr:uid="{00000000-0005-0000-0000-000009040000}"/>
    <cellStyle name="Currency 6 4 4" xfId="759" xr:uid="{00000000-0005-0000-0000-00000A040000}"/>
    <cellStyle name="Currency 6 4 4 2" xfId="1785" xr:uid="{00000000-0005-0000-0000-00000B040000}"/>
    <cellStyle name="Currency 6 4 5" xfId="948" xr:uid="{00000000-0005-0000-0000-00000C040000}"/>
    <cellStyle name="Currency 6 4 5 2" xfId="1874" xr:uid="{00000000-0005-0000-0000-00000D040000}"/>
    <cellStyle name="Currency 6 4 6" xfId="1131" xr:uid="{00000000-0005-0000-0000-00000E040000}"/>
    <cellStyle name="Currency 6 4 6 2" xfId="1969" xr:uid="{00000000-0005-0000-0000-00000F040000}"/>
    <cellStyle name="Currency 6 4 7" xfId="1302" xr:uid="{00000000-0005-0000-0000-000010040000}"/>
    <cellStyle name="Currency 6 4 7 2" xfId="2059" xr:uid="{00000000-0005-0000-0000-000011040000}"/>
    <cellStyle name="Currency 6 4 8" xfId="1448" xr:uid="{00000000-0005-0000-0000-000012040000}"/>
    <cellStyle name="Currency 6 4 8 2" xfId="2176" xr:uid="{00000000-0005-0000-0000-000013040000}"/>
    <cellStyle name="Currency 6 4 9" xfId="1489" xr:uid="{00000000-0005-0000-0000-000014040000}"/>
    <cellStyle name="Currency 6 4 9 2" xfId="2216" xr:uid="{00000000-0005-0000-0000-000015040000}"/>
    <cellStyle name="Currency 6 5" xfId="187" xr:uid="{00000000-0005-0000-0000-000016040000}"/>
    <cellStyle name="Currency 6 5 10" xfId="1552" xr:uid="{00000000-0005-0000-0000-000017040000}"/>
    <cellStyle name="Currency 6 5 2" xfId="386" xr:uid="{00000000-0005-0000-0000-000018040000}"/>
    <cellStyle name="Currency 6 5 2 2" xfId="1608" xr:uid="{00000000-0005-0000-0000-000019040000}"/>
    <cellStyle name="Currency 6 5 3" xfId="543" xr:uid="{00000000-0005-0000-0000-00001A040000}"/>
    <cellStyle name="Currency 6 5 3 2" xfId="1693" xr:uid="{00000000-0005-0000-0000-00001B040000}"/>
    <cellStyle name="Currency 6 5 4" xfId="779" xr:uid="{00000000-0005-0000-0000-00001C040000}"/>
    <cellStyle name="Currency 6 5 4 2" xfId="1790" xr:uid="{00000000-0005-0000-0000-00001D040000}"/>
    <cellStyle name="Currency 6 5 5" xfId="967" xr:uid="{00000000-0005-0000-0000-00001E040000}"/>
    <cellStyle name="Currency 6 5 5 2" xfId="1879" xr:uid="{00000000-0005-0000-0000-00001F040000}"/>
    <cellStyle name="Currency 6 5 6" xfId="1150" xr:uid="{00000000-0005-0000-0000-000020040000}"/>
    <cellStyle name="Currency 6 5 6 2" xfId="1974" xr:uid="{00000000-0005-0000-0000-000021040000}"/>
    <cellStyle name="Currency 6 5 7" xfId="1319" xr:uid="{00000000-0005-0000-0000-000022040000}"/>
    <cellStyle name="Currency 6 5 7 2" xfId="2064" xr:uid="{00000000-0005-0000-0000-000023040000}"/>
    <cellStyle name="Currency 6 5 8" xfId="1447" xr:uid="{00000000-0005-0000-0000-000024040000}"/>
    <cellStyle name="Currency 6 5 8 2" xfId="2175" xr:uid="{00000000-0005-0000-0000-000025040000}"/>
    <cellStyle name="Currency 6 5 9" xfId="1494" xr:uid="{00000000-0005-0000-0000-000026040000}"/>
    <cellStyle name="Currency 6 5 9 2" xfId="2221" xr:uid="{00000000-0005-0000-0000-000027040000}"/>
    <cellStyle name="Currency 6 6" xfId="208" xr:uid="{00000000-0005-0000-0000-000028040000}"/>
    <cellStyle name="Currency 6 6 10" xfId="1557" xr:uid="{00000000-0005-0000-0000-000029040000}"/>
    <cellStyle name="Currency 6 6 2" xfId="403" xr:uid="{00000000-0005-0000-0000-00002A040000}"/>
    <cellStyle name="Currency 6 6 2 2" xfId="1613" xr:uid="{00000000-0005-0000-0000-00002B040000}"/>
    <cellStyle name="Currency 6 6 3" xfId="560" xr:uid="{00000000-0005-0000-0000-00002C040000}"/>
    <cellStyle name="Currency 6 6 3 2" xfId="1698" xr:uid="{00000000-0005-0000-0000-00002D040000}"/>
    <cellStyle name="Currency 6 6 4" xfId="799" xr:uid="{00000000-0005-0000-0000-00002E040000}"/>
    <cellStyle name="Currency 6 6 4 2" xfId="1795" xr:uid="{00000000-0005-0000-0000-00002F040000}"/>
    <cellStyle name="Currency 6 6 5" xfId="986" xr:uid="{00000000-0005-0000-0000-000030040000}"/>
    <cellStyle name="Currency 6 6 5 2" xfId="1884" xr:uid="{00000000-0005-0000-0000-000031040000}"/>
    <cellStyle name="Currency 6 6 6" xfId="1170" xr:uid="{00000000-0005-0000-0000-000032040000}"/>
    <cellStyle name="Currency 6 6 6 2" xfId="1979" xr:uid="{00000000-0005-0000-0000-000033040000}"/>
    <cellStyle name="Currency 6 6 7" xfId="1336" xr:uid="{00000000-0005-0000-0000-000034040000}"/>
    <cellStyle name="Currency 6 6 7 2" xfId="2069" xr:uid="{00000000-0005-0000-0000-000035040000}"/>
    <cellStyle name="Currency 6 6 8" xfId="1444" xr:uid="{00000000-0005-0000-0000-000036040000}"/>
    <cellStyle name="Currency 6 6 8 2" xfId="2172" xr:uid="{00000000-0005-0000-0000-000037040000}"/>
    <cellStyle name="Currency 6 6 9" xfId="1499" xr:uid="{00000000-0005-0000-0000-000038040000}"/>
    <cellStyle name="Currency 6 6 9 2" xfId="2226" xr:uid="{00000000-0005-0000-0000-000039040000}"/>
    <cellStyle name="Currency 6 7" xfId="266" xr:uid="{00000000-0005-0000-0000-00003A040000}"/>
    <cellStyle name="Currency 6 7 2" xfId="1570" xr:uid="{00000000-0005-0000-0000-00003B040000}"/>
    <cellStyle name="Currency 6 8" xfId="270" xr:uid="{00000000-0005-0000-0000-00003C040000}"/>
    <cellStyle name="Currency 6 8 2" xfId="1574" xr:uid="{00000000-0005-0000-0000-00003D040000}"/>
    <cellStyle name="Currency 6 9" xfId="657" xr:uid="{00000000-0005-0000-0000-00003E040000}"/>
    <cellStyle name="Currency 6 9 2" xfId="1750" xr:uid="{00000000-0005-0000-0000-00003F040000}"/>
    <cellStyle name="Currency 7" xfId="45" xr:uid="{00000000-0005-0000-0000-000040040000}"/>
    <cellStyle name="Currency 7 10" xfId="659" xr:uid="{00000000-0005-0000-0000-000041040000}"/>
    <cellStyle name="Currency 7 10 2" xfId="1751" xr:uid="{00000000-0005-0000-0000-000042040000}"/>
    <cellStyle name="Currency 7 11" xfId="669" xr:uid="{00000000-0005-0000-0000-000043040000}"/>
    <cellStyle name="Currency 7 11 2" xfId="1756" xr:uid="{00000000-0005-0000-0000-000044040000}"/>
    <cellStyle name="Currency 7 12" xfId="667" xr:uid="{00000000-0005-0000-0000-000045040000}"/>
    <cellStyle name="Currency 7 12 2" xfId="1754" xr:uid="{00000000-0005-0000-0000-000046040000}"/>
    <cellStyle name="Currency 7 13" xfId="1049" xr:uid="{00000000-0005-0000-0000-000047040000}"/>
    <cellStyle name="Currency 7 13 2" xfId="1939" xr:uid="{00000000-0005-0000-0000-000048040000}"/>
    <cellStyle name="Currency 7 14" xfId="1428" xr:uid="{00000000-0005-0000-0000-000049040000}"/>
    <cellStyle name="Currency 7 14 2" xfId="2156" xr:uid="{00000000-0005-0000-0000-00004A040000}"/>
    <cellStyle name="Currency 7 15" xfId="1458" xr:uid="{00000000-0005-0000-0000-00004B040000}"/>
    <cellStyle name="Currency 7 15 2" xfId="2185" xr:uid="{00000000-0005-0000-0000-00004C040000}"/>
    <cellStyle name="Currency 7 16" xfId="1519" xr:uid="{00000000-0005-0000-0000-00004D040000}"/>
    <cellStyle name="Currency 7 2" xfId="90" xr:uid="{00000000-0005-0000-0000-00004E040000}"/>
    <cellStyle name="Currency 7 2 10" xfId="1527" xr:uid="{00000000-0005-0000-0000-00004F040000}"/>
    <cellStyle name="Currency 7 2 2" xfId="298" xr:uid="{00000000-0005-0000-0000-000050040000}"/>
    <cellStyle name="Currency 7 2 2 2" xfId="1583" xr:uid="{00000000-0005-0000-0000-000051040000}"/>
    <cellStyle name="Currency 7 2 3" xfId="463" xr:uid="{00000000-0005-0000-0000-000052040000}"/>
    <cellStyle name="Currency 7 2 3 2" xfId="1668" xr:uid="{00000000-0005-0000-0000-000053040000}"/>
    <cellStyle name="Currency 7 2 4" xfId="687" xr:uid="{00000000-0005-0000-0000-000054040000}"/>
    <cellStyle name="Currency 7 2 4 2" xfId="1765" xr:uid="{00000000-0005-0000-0000-000055040000}"/>
    <cellStyle name="Currency 7 2 5" xfId="879" xr:uid="{00000000-0005-0000-0000-000056040000}"/>
    <cellStyle name="Currency 7 2 5 2" xfId="1854" xr:uid="{00000000-0005-0000-0000-000057040000}"/>
    <cellStyle name="Currency 7 2 6" xfId="1060" xr:uid="{00000000-0005-0000-0000-000058040000}"/>
    <cellStyle name="Currency 7 2 6 2" xfId="1949" xr:uid="{00000000-0005-0000-0000-000059040000}"/>
    <cellStyle name="Currency 7 2 7" xfId="1239" xr:uid="{00000000-0005-0000-0000-00005A040000}"/>
    <cellStyle name="Currency 7 2 7 2" xfId="2039" xr:uid="{00000000-0005-0000-0000-00005B040000}"/>
    <cellStyle name="Currency 7 2 8" xfId="1404" xr:uid="{00000000-0005-0000-0000-00005C040000}"/>
    <cellStyle name="Currency 7 2 8 2" xfId="2133" xr:uid="{00000000-0005-0000-0000-00005D040000}"/>
    <cellStyle name="Currency 7 2 9" xfId="1469" xr:uid="{00000000-0005-0000-0000-00005E040000}"/>
    <cellStyle name="Currency 7 2 9 2" xfId="2196" xr:uid="{00000000-0005-0000-0000-00005F040000}"/>
    <cellStyle name="Currency 7 3" xfId="126" xr:uid="{00000000-0005-0000-0000-000060040000}"/>
    <cellStyle name="Currency 7 3 10" xfId="1539" xr:uid="{00000000-0005-0000-0000-000061040000}"/>
    <cellStyle name="Currency 7 3 2" xfId="331" xr:uid="{00000000-0005-0000-0000-000062040000}"/>
    <cellStyle name="Currency 7 3 2 2" xfId="1595" xr:uid="{00000000-0005-0000-0000-000063040000}"/>
    <cellStyle name="Currency 7 3 3" xfId="494" xr:uid="{00000000-0005-0000-0000-000064040000}"/>
    <cellStyle name="Currency 7 3 3 2" xfId="1680" xr:uid="{00000000-0005-0000-0000-000065040000}"/>
    <cellStyle name="Currency 7 3 4" xfId="721" xr:uid="{00000000-0005-0000-0000-000066040000}"/>
    <cellStyle name="Currency 7 3 4 2" xfId="1777" xr:uid="{00000000-0005-0000-0000-000067040000}"/>
    <cellStyle name="Currency 7 3 5" xfId="912" xr:uid="{00000000-0005-0000-0000-000068040000}"/>
    <cellStyle name="Currency 7 3 5 2" xfId="1866" xr:uid="{00000000-0005-0000-0000-000069040000}"/>
    <cellStyle name="Currency 7 3 6" xfId="1094" xr:uid="{00000000-0005-0000-0000-00006A040000}"/>
    <cellStyle name="Currency 7 3 6 2" xfId="1961" xr:uid="{00000000-0005-0000-0000-00006B040000}"/>
    <cellStyle name="Currency 7 3 7" xfId="1270" xr:uid="{00000000-0005-0000-0000-00006C040000}"/>
    <cellStyle name="Currency 7 3 7 2" xfId="2051" xr:uid="{00000000-0005-0000-0000-00006D040000}"/>
    <cellStyle name="Currency 7 3 8" xfId="1424" xr:uid="{00000000-0005-0000-0000-00006E040000}"/>
    <cellStyle name="Currency 7 3 8 2" xfId="2153" xr:uid="{00000000-0005-0000-0000-00006F040000}"/>
    <cellStyle name="Currency 7 3 9" xfId="1481" xr:uid="{00000000-0005-0000-0000-000070040000}"/>
    <cellStyle name="Currency 7 3 9 2" xfId="2208" xr:uid="{00000000-0005-0000-0000-000071040000}"/>
    <cellStyle name="Currency 7 4" xfId="147" xr:uid="{00000000-0005-0000-0000-000072040000}"/>
    <cellStyle name="Currency 7 4 10" xfId="1544" xr:uid="{00000000-0005-0000-0000-000073040000}"/>
    <cellStyle name="Currency 7 4 2" xfId="350" xr:uid="{00000000-0005-0000-0000-000074040000}"/>
    <cellStyle name="Currency 7 4 2 2" xfId="1600" xr:uid="{00000000-0005-0000-0000-000075040000}"/>
    <cellStyle name="Currency 7 4 3" xfId="511" xr:uid="{00000000-0005-0000-0000-000076040000}"/>
    <cellStyle name="Currency 7 4 3 2" xfId="1685" xr:uid="{00000000-0005-0000-0000-000077040000}"/>
    <cellStyle name="Currency 7 4 4" xfId="741" xr:uid="{00000000-0005-0000-0000-000078040000}"/>
    <cellStyle name="Currency 7 4 4 2" xfId="1782" xr:uid="{00000000-0005-0000-0000-000079040000}"/>
    <cellStyle name="Currency 7 4 5" xfId="931" xr:uid="{00000000-0005-0000-0000-00007A040000}"/>
    <cellStyle name="Currency 7 4 5 2" xfId="1871" xr:uid="{00000000-0005-0000-0000-00007B040000}"/>
    <cellStyle name="Currency 7 4 6" xfId="1114" xr:uid="{00000000-0005-0000-0000-00007C040000}"/>
    <cellStyle name="Currency 7 4 6 2" xfId="1966" xr:uid="{00000000-0005-0000-0000-00007D040000}"/>
    <cellStyle name="Currency 7 4 7" xfId="1287" xr:uid="{00000000-0005-0000-0000-00007E040000}"/>
    <cellStyle name="Currency 7 4 7 2" xfId="2056" xr:uid="{00000000-0005-0000-0000-00007F040000}"/>
    <cellStyle name="Currency 7 4 8" xfId="1405" xr:uid="{00000000-0005-0000-0000-000080040000}"/>
    <cellStyle name="Currency 7 4 8 2" xfId="2134" xr:uid="{00000000-0005-0000-0000-000081040000}"/>
    <cellStyle name="Currency 7 4 9" xfId="1486" xr:uid="{00000000-0005-0000-0000-000082040000}"/>
    <cellStyle name="Currency 7 4 9 2" xfId="2213" xr:uid="{00000000-0005-0000-0000-000083040000}"/>
    <cellStyle name="Currency 7 5" xfId="168" xr:uid="{00000000-0005-0000-0000-000084040000}"/>
    <cellStyle name="Currency 7 5 10" xfId="1549" xr:uid="{00000000-0005-0000-0000-000085040000}"/>
    <cellStyle name="Currency 7 5 2" xfId="369" xr:uid="{00000000-0005-0000-0000-000086040000}"/>
    <cellStyle name="Currency 7 5 2 2" xfId="1605" xr:uid="{00000000-0005-0000-0000-000087040000}"/>
    <cellStyle name="Currency 7 5 3" xfId="528" xr:uid="{00000000-0005-0000-0000-000088040000}"/>
    <cellStyle name="Currency 7 5 3 2" xfId="1690" xr:uid="{00000000-0005-0000-0000-000089040000}"/>
    <cellStyle name="Currency 7 5 4" xfId="761" xr:uid="{00000000-0005-0000-0000-00008A040000}"/>
    <cellStyle name="Currency 7 5 4 2" xfId="1787" xr:uid="{00000000-0005-0000-0000-00008B040000}"/>
    <cellStyle name="Currency 7 5 5" xfId="950" xr:uid="{00000000-0005-0000-0000-00008C040000}"/>
    <cellStyle name="Currency 7 5 5 2" xfId="1876" xr:uid="{00000000-0005-0000-0000-00008D040000}"/>
    <cellStyle name="Currency 7 5 6" xfId="1133" xr:uid="{00000000-0005-0000-0000-00008E040000}"/>
    <cellStyle name="Currency 7 5 6 2" xfId="1971" xr:uid="{00000000-0005-0000-0000-00008F040000}"/>
    <cellStyle name="Currency 7 5 7" xfId="1304" xr:uid="{00000000-0005-0000-0000-000090040000}"/>
    <cellStyle name="Currency 7 5 7 2" xfId="2061" xr:uid="{00000000-0005-0000-0000-000091040000}"/>
    <cellStyle name="Currency 7 5 8" xfId="1432" xr:uid="{00000000-0005-0000-0000-000092040000}"/>
    <cellStyle name="Currency 7 5 8 2" xfId="2160" xr:uid="{00000000-0005-0000-0000-000093040000}"/>
    <cellStyle name="Currency 7 5 9" xfId="1491" xr:uid="{00000000-0005-0000-0000-000094040000}"/>
    <cellStyle name="Currency 7 5 9 2" xfId="2218" xr:uid="{00000000-0005-0000-0000-000095040000}"/>
    <cellStyle name="Currency 7 6" xfId="189" xr:uid="{00000000-0005-0000-0000-000096040000}"/>
    <cellStyle name="Currency 7 6 10" xfId="1554" xr:uid="{00000000-0005-0000-0000-000097040000}"/>
    <cellStyle name="Currency 7 6 2" xfId="388" xr:uid="{00000000-0005-0000-0000-000098040000}"/>
    <cellStyle name="Currency 7 6 2 2" xfId="1610" xr:uid="{00000000-0005-0000-0000-000099040000}"/>
    <cellStyle name="Currency 7 6 3" xfId="545" xr:uid="{00000000-0005-0000-0000-00009A040000}"/>
    <cellStyle name="Currency 7 6 3 2" xfId="1695" xr:uid="{00000000-0005-0000-0000-00009B040000}"/>
    <cellStyle name="Currency 7 6 4" xfId="781" xr:uid="{00000000-0005-0000-0000-00009C040000}"/>
    <cellStyle name="Currency 7 6 4 2" xfId="1792" xr:uid="{00000000-0005-0000-0000-00009D040000}"/>
    <cellStyle name="Currency 7 6 5" xfId="969" xr:uid="{00000000-0005-0000-0000-00009E040000}"/>
    <cellStyle name="Currency 7 6 5 2" xfId="1881" xr:uid="{00000000-0005-0000-0000-00009F040000}"/>
    <cellStyle name="Currency 7 6 6" xfId="1152" xr:uid="{00000000-0005-0000-0000-0000A0040000}"/>
    <cellStyle name="Currency 7 6 6 2" xfId="1976" xr:uid="{00000000-0005-0000-0000-0000A1040000}"/>
    <cellStyle name="Currency 7 6 7" xfId="1321" xr:uid="{00000000-0005-0000-0000-0000A2040000}"/>
    <cellStyle name="Currency 7 6 7 2" xfId="2066" xr:uid="{00000000-0005-0000-0000-0000A3040000}"/>
    <cellStyle name="Currency 7 6 8" xfId="1414" xr:uid="{00000000-0005-0000-0000-0000A4040000}"/>
    <cellStyle name="Currency 7 6 8 2" xfId="2143" xr:uid="{00000000-0005-0000-0000-0000A5040000}"/>
    <cellStyle name="Currency 7 6 9" xfId="1496" xr:uid="{00000000-0005-0000-0000-0000A6040000}"/>
    <cellStyle name="Currency 7 6 9 2" xfId="2223" xr:uid="{00000000-0005-0000-0000-0000A7040000}"/>
    <cellStyle name="Currency 7 7" xfId="210" xr:uid="{00000000-0005-0000-0000-0000A8040000}"/>
    <cellStyle name="Currency 7 7 10" xfId="1559" xr:uid="{00000000-0005-0000-0000-0000A9040000}"/>
    <cellStyle name="Currency 7 7 2" xfId="405" xr:uid="{00000000-0005-0000-0000-0000AA040000}"/>
    <cellStyle name="Currency 7 7 2 2" xfId="1615" xr:uid="{00000000-0005-0000-0000-0000AB040000}"/>
    <cellStyle name="Currency 7 7 3" xfId="562" xr:uid="{00000000-0005-0000-0000-0000AC040000}"/>
    <cellStyle name="Currency 7 7 3 2" xfId="1700" xr:uid="{00000000-0005-0000-0000-0000AD040000}"/>
    <cellStyle name="Currency 7 7 4" xfId="801" xr:uid="{00000000-0005-0000-0000-0000AE040000}"/>
    <cellStyle name="Currency 7 7 4 2" xfId="1797" xr:uid="{00000000-0005-0000-0000-0000AF040000}"/>
    <cellStyle name="Currency 7 7 5" xfId="988" xr:uid="{00000000-0005-0000-0000-0000B0040000}"/>
    <cellStyle name="Currency 7 7 5 2" xfId="1886" xr:uid="{00000000-0005-0000-0000-0000B1040000}"/>
    <cellStyle name="Currency 7 7 6" xfId="1172" xr:uid="{00000000-0005-0000-0000-0000B2040000}"/>
    <cellStyle name="Currency 7 7 6 2" xfId="1981" xr:uid="{00000000-0005-0000-0000-0000B3040000}"/>
    <cellStyle name="Currency 7 7 7" xfId="1338" xr:uid="{00000000-0005-0000-0000-0000B4040000}"/>
    <cellStyle name="Currency 7 7 7 2" xfId="2071" xr:uid="{00000000-0005-0000-0000-0000B5040000}"/>
    <cellStyle name="Currency 7 7 8" xfId="1423" xr:uid="{00000000-0005-0000-0000-0000B6040000}"/>
    <cellStyle name="Currency 7 7 8 2" xfId="2152" xr:uid="{00000000-0005-0000-0000-0000B7040000}"/>
    <cellStyle name="Currency 7 7 9" xfId="1501" xr:uid="{00000000-0005-0000-0000-0000B8040000}"/>
    <cellStyle name="Currency 7 7 9 2" xfId="2228" xr:uid="{00000000-0005-0000-0000-0000B9040000}"/>
    <cellStyle name="Currency 7 8" xfId="268" xr:uid="{00000000-0005-0000-0000-0000BA040000}"/>
    <cellStyle name="Currency 7 8 2" xfId="1572" xr:uid="{00000000-0005-0000-0000-0000BB040000}"/>
    <cellStyle name="Currency 7 9" xfId="269" xr:uid="{00000000-0005-0000-0000-0000BC040000}"/>
    <cellStyle name="Currency 7 9 2" xfId="1573" xr:uid="{00000000-0005-0000-0000-0000BD040000}"/>
    <cellStyle name="Currency 8" xfId="92" xr:uid="{00000000-0005-0000-0000-0000BE040000}"/>
    <cellStyle name="Currency 8 2" xfId="300" xr:uid="{00000000-0005-0000-0000-0000BF040000}"/>
    <cellStyle name="Currency 8 3" xfId="465" xr:uid="{00000000-0005-0000-0000-0000C0040000}"/>
    <cellStyle name="Currency 8 4" xfId="689" xr:uid="{00000000-0005-0000-0000-0000C1040000}"/>
    <cellStyle name="Currency 8 5" xfId="881" xr:uid="{00000000-0005-0000-0000-0000C2040000}"/>
    <cellStyle name="Currency 8 6" xfId="1062" xr:uid="{00000000-0005-0000-0000-0000C3040000}"/>
    <cellStyle name="Currency 8 7" xfId="1241" xr:uid="{00000000-0005-0000-0000-0000C4040000}"/>
    <cellStyle name="Currency 9" xfId="95" xr:uid="{00000000-0005-0000-0000-0000C5040000}"/>
    <cellStyle name="Currency 9 10" xfId="1529" xr:uid="{00000000-0005-0000-0000-0000C6040000}"/>
    <cellStyle name="Currency 9 2" xfId="302" xr:uid="{00000000-0005-0000-0000-0000C7040000}"/>
    <cellStyle name="Currency 9 2 2" xfId="1585" xr:uid="{00000000-0005-0000-0000-0000C8040000}"/>
    <cellStyle name="Currency 9 3" xfId="467" xr:uid="{00000000-0005-0000-0000-0000C9040000}"/>
    <cellStyle name="Currency 9 3 2" xfId="1670" xr:uid="{00000000-0005-0000-0000-0000CA040000}"/>
    <cellStyle name="Currency 9 4" xfId="691" xr:uid="{00000000-0005-0000-0000-0000CB040000}"/>
    <cellStyle name="Currency 9 4 2" xfId="1767" xr:uid="{00000000-0005-0000-0000-0000CC040000}"/>
    <cellStyle name="Currency 9 5" xfId="883" xr:uid="{00000000-0005-0000-0000-0000CD040000}"/>
    <cellStyle name="Currency 9 5 2" xfId="1856" xr:uid="{00000000-0005-0000-0000-0000CE040000}"/>
    <cellStyle name="Currency 9 6" xfId="1065" xr:uid="{00000000-0005-0000-0000-0000CF040000}"/>
    <cellStyle name="Currency 9 6 2" xfId="1951" xr:uid="{00000000-0005-0000-0000-0000D0040000}"/>
    <cellStyle name="Currency 9 7" xfId="1243" xr:uid="{00000000-0005-0000-0000-0000D1040000}"/>
    <cellStyle name="Currency 9 7 2" xfId="2041" xr:uid="{00000000-0005-0000-0000-0000D2040000}"/>
    <cellStyle name="Currency 9 8" xfId="1443" xr:uid="{00000000-0005-0000-0000-0000D3040000}"/>
    <cellStyle name="Currency 9 8 2" xfId="2171" xr:uid="{00000000-0005-0000-0000-0000D4040000}"/>
    <cellStyle name="Currency 9 9" xfId="1471" xr:uid="{00000000-0005-0000-0000-0000D5040000}"/>
    <cellStyle name="Currency 9 9 2" xfId="2198" xr:uid="{00000000-0005-0000-0000-0000D6040000}"/>
    <cellStyle name="Explanatory Text 2" xfId="73" xr:uid="{00000000-0005-0000-0000-0000D7040000}"/>
    <cellStyle name="Good" xfId="2246" builtinId="26"/>
    <cellStyle name="Good 2" xfId="74" xr:uid="{00000000-0005-0000-0000-0000D9040000}"/>
    <cellStyle name="Heading 1 2" xfId="75" xr:uid="{00000000-0005-0000-0000-0000DA040000}"/>
    <cellStyle name="Heading 2 2" xfId="76" xr:uid="{00000000-0005-0000-0000-0000DB040000}"/>
    <cellStyle name="Heading 3 2" xfId="77" xr:uid="{00000000-0005-0000-0000-0000DC040000}"/>
    <cellStyle name="Heading 3 2 2" xfId="418" xr:uid="{00000000-0005-0000-0000-0000DD040000}"/>
    <cellStyle name="Heading 3 2 2 2" xfId="1005" xr:uid="{00000000-0005-0000-0000-0000DE040000}"/>
    <cellStyle name="Heading 3 2 2 2 2" xfId="1895" xr:uid="{00000000-0005-0000-0000-0000DF040000}"/>
    <cellStyle name="Heading 3 2 2 3" xfId="1189" xr:uid="{00000000-0005-0000-0000-0000E0040000}"/>
    <cellStyle name="Heading 3 2 2 3 2" xfId="1990" xr:uid="{00000000-0005-0000-0000-0000E1040000}"/>
    <cellStyle name="Heading 3 2 2 4" xfId="1351" xr:uid="{00000000-0005-0000-0000-0000E2040000}"/>
    <cellStyle name="Heading 3 2 2 4 2" xfId="2080" xr:uid="{00000000-0005-0000-0000-0000E3040000}"/>
    <cellStyle name="Heading 3 2 2 5" xfId="1624" xr:uid="{00000000-0005-0000-0000-0000E4040000}"/>
    <cellStyle name="Heading 3 2 3" xfId="432" xr:uid="{00000000-0005-0000-0000-0000E5040000}"/>
    <cellStyle name="Heading 3 2 3 2" xfId="1019" xr:uid="{00000000-0005-0000-0000-0000E6040000}"/>
    <cellStyle name="Heading 3 2 3 2 2" xfId="1909" xr:uid="{00000000-0005-0000-0000-0000E7040000}"/>
    <cellStyle name="Heading 3 2 3 3" xfId="1203" xr:uid="{00000000-0005-0000-0000-0000E8040000}"/>
    <cellStyle name="Heading 3 2 3 3 2" xfId="2003" xr:uid="{00000000-0005-0000-0000-0000E9040000}"/>
    <cellStyle name="Heading 3 2 3 4" xfId="1365" xr:uid="{00000000-0005-0000-0000-0000EA040000}"/>
    <cellStyle name="Heading 3 2 3 4 2" xfId="2094" xr:uid="{00000000-0005-0000-0000-0000EB040000}"/>
    <cellStyle name="Heading 3 2 3 5" xfId="1637" xr:uid="{00000000-0005-0000-0000-0000EC040000}"/>
    <cellStyle name="Heading 3 2 4" xfId="431" xr:uid="{00000000-0005-0000-0000-0000ED040000}"/>
    <cellStyle name="Heading 3 2 4 2" xfId="1018" xr:uid="{00000000-0005-0000-0000-0000EE040000}"/>
    <cellStyle name="Heading 3 2 4 2 2" xfId="1908" xr:uid="{00000000-0005-0000-0000-0000EF040000}"/>
    <cellStyle name="Heading 3 2 4 3" xfId="1202" xr:uid="{00000000-0005-0000-0000-0000F0040000}"/>
    <cellStyle name="Heading 3 2 4 3 2" xfId="2002" xr:uid="{00000000-0005-0000-0000-0000F1040000}"/>
    <cellStyle name="Heading 3 2 4 4" xfId="1364" xr:uid="{00000000-0005-0000-0000-0000F2040000}"/>
    <cellStyle name="Heading 3 2 4 4 2" xfId="2093" xr:uid="{00000000-0005-0000-0000-0000F3040000}"/>
    <cellStyle name="Heading 3 2 4 5" xfId="1636" xr:uid="{00000000-0005-0000-0000-0000F4040000}"/>
    <cellStyle name="Heading 3 2 5" xfId="425" xr:uid="{00000000-0005-0000-0000-0000F5040000}"/>
    <cellStyle name="Heading 3 2 5 2" xfId="826" xr:uid="{00000000-0005-0000-0000-0000F6040000}"/>
    <cellStyle name="Heading 3 2 5 2 2" xfId="1812" xr:uid="{00000000-0005-0000-0000-0000F7040000}"/>
    <cellStyle name="Heading 3 2 5 3" xfId="1012" xr:uid="{00000000-0005-0000-0000-0000F8040000}"/>
    <cellStyle name="Heading 3 2 5 3 2" xfId="1902" xr:uid="{00000000-0005-0000-0000-0000F9040000}"/>
    <cellStyle name="Heading 3 2 5 4" xfId="1196" xr:uid="{00000000-0005-0000-0000-0000FA040000}"/>
    <cellStyle name="Heading 3 2 5 5" xfId="1358" xr:uid="{00000000-0005-0000-0000-0000FB040000}"/>
    <cellStyle name="Heading 3 2 5 5 2" xfId="2087" xr:uid="{00000000-0005-0000-0000-0000FC040000}"/>
    <cellStyle name="Heading 3 2 6" xfId="868" xr:uid="{00000000-0005-0000-0000-0000FD040000}"/>
    <cellStyle name="Heading 3 2 6 2" xfId="1847" xr:uid="{00000000-0005-0000-0000-0000FE040000}"/>
    <cellStyle name="Heading 3 2 7" xfId="1051" xr:uid="{00000000-0005-0000-0000-0000FF040000}"/>
    <cellStyle name="Heading 3 2 7 2" xfId="1941" xr:uid="{00000000-0005-0000-0000-000000050000}"/>
    <cellStyle name="Heading 3 2 8" xfId="1232" xr:uid="{00000000-0005-0000-0000-000001050000}"/>
    <cellStyle name="Heading 3 2 8 2" xfId="2032" xr:uid="{00000000-0005-0000-0000-000002050000}"/>
    <cellStyle name="Heading 4 2" xfId="78" xr:uid="{00000000-0005-0000-0000-000003050000}"/>
    <cellStyle name="Hyperlink" xfId="2255" builtinId="8"/>
    <cellStyle name="Input 2" xfId="79" xr:uid="{00000000-0005-0000-0000-000005050000}"/>
    <cellStyle name="Input 2 10" xfId="292" xr:uid="{00000000-0005-0000-0000-000006050000}"/>
    <cellStyle name="Input 2 10 2" xfId="1577" xr:uid="{00000000-0005-0000-0000-000007050000}"/>
    <cellStyle name="Input 2 11" xfId="678" xr:uid="{00000000-0005-0000-0000-000008050000}"/>
    <cellStyle name="Input 2 11 2" xfId="1758" xr:uid="{00000000-0005-0000-0000-000009050000}"/>
    <cellStyle name="Input 2 12" xfId="870" xr:uid="{00000000-0005-0000-0000-00000A050000}"/>
    <cellStyle name="Input 2 12 2" xfId="1848" xr:uid="{00000000-0005-0000-0000-00000B050000}"/>
    <cellStyle name="Input 2 13" xfId="1053" xr:uid="{00000000-0005-0000-0000-00000C050000}"/>
    <cellStyle name="Input 2 13 2" xfId="1943" xr:uid="{00000000-0005-0000-0000-00000D050000}"/>
    <cellStyle name="Input 2 14" xfId="1233" xr:uid="{00000000-0005-0000-0000-00000E050000}"/>
    <cellStyle name="Input 2 14 2" xfId="2033" xr:uid="{00000000-0005-0000-0000-00000F050000}"/>
    <cellStyle name="Input 2 15" xfId="1409" xr:uid="{00000000-0005-0000-0000-000010050000}"/>
    <cellStyle name="Input 2 15 2" xfId="2138" xr:uid="{00000000-0005-0000-0000-000011050000}"/>
    <cellStyle name="Input 2 16" xfId="1464" xr:uid="{00000000-0005-0000-0000-000012050000}"/>
    <cellStyle name="Input 2 16 2" xfId="2191" xr:uid="{00000000-0005-0000-0000-000013050000}"/>
    <cellStyle name="Input 2 17" xfId="1521" xr:uid="{00000000-0005-0000-0000-000014050000}"/>
    <cellStyle name="Input 2 2" xfId="419" xr:uid="{00000000-0005-0000-0000-000015050000}"/>
    <cellStyle name="Input 2 2 2" xfId="575" xr:uid="{00000000-0005-0000-0000-000016050000}"/>
    <cellStyle name="Input 2 2 2 2" xfId="1709" xr:uid="{00000000-0005-0000-0000-000017050000}"/>
    <cellStyle name="Input 2 2 3" xfId="820" xr:uid="{00000000-0005-0000-0000-000018050000}"/>
    <cellStyle name="Input 2 2 3 2" xfId="1806" xr:uid="{00000000-0005-0000-0000-000019050000}"/>
    <cellStyle name="Input 2 2 4" xfId="1006" xr:uid="{00000000-0005-0000-0000-00001A050000}"/>
    <cellStyle name="Input 2 2 4 2" xfId="1896" xr:uid="{00000000-0005-0000-0000-00001B050000}"/>
    <cellStyle name="Input 2 2 5" xfId="1190" xr:uid="{00000000-0005-0000-0000-00001C050000}"/>
    <cellStyle name="Input 2 2 5 2" xfId="1991" xr:uid="{00000000-0005-0000-0000-00001D050000}"/>
    <cellStyle name="Input 2 2 6" xfId="1352" xr:uid="{00000000-0005-0000-0000-00001E050000}"/>
    <cellStyle name="Input 2 2 6 2" xfId="2081" xr:uid="{00000000-0005-0000-0000-00001F050000}"/>
    <cellStyle name="Input 2 2 7" xfId="1625" xr:uid="{00000000-0005-0000-0000-000020050000}"/>
    <cellStyle name="Input 2 3" xfId="433" xr:uid="{00000000-0005-0000-0000-000021050000}"/>
    <cellStyle name="Input 2 3 2" xfId="586" xr:uid="{00000000-0005-0000-0000-000022050000}"/>
    <cellStyle name="Input 2 3 2 2" xfId="1720" xr:uid="{00000000-0005-0000-0000-000023050000}"/>
    <cellStyle name="Input 2 3 3" xfId="833" xr:uid="{00000000-0005-0000-0000-000024050000}"/>
    <cellStyle name="Input 2 3 3 2" xfId="1818" xr:uid="{00000000-0005-0000-0000-000025050000}"/>
    <cellStyle name="Input 2 3 4" xfId="1020" xr:uid="{00000000-0005-0000-0000-000026050000}"/>
    <cellStyle name="Input 2 3 4 2" xfId="1910" xr:uid="{00000000-0005-0000-0000-000027050000}"/>
    <cellStyle name="Input 2 3 5" xfId="1204" xr:uid="{00000000-0005-0000-0000-000028050000}"/>
    <cellStyle name="Input 2 3 5 2" xfId="2004" xr:uid="{00000000-0005-0000-0000-000029050000}"/>
    <cellStyle name="Input 2 3 6" xfId="1366" xr:uid="{00000000-0005-0000-0000-00002A050000}"/>
    <cellStyle name="Input 2 3 6 2" xfId="2095" xr:uid="{00000000-0005-0000-0000-00002B050000}"/>
    <cellStyle name="Input 2 3 7" xfId="1638" xr:uid="{00000000-0005-0000-0000-00002C050000}"/>
    <cellStyle name="Input 2 4" xfId="440" xr:uid="{00000000-0005-0000-0000-00002D050000}"/>
    <cellStyle name="Input 2 4 2" xfId="593" xr:uid="{00000000-0005-0000-0000-00002E050000}"/>
    <cellStyle name="Input 2 4 2 2" xfId="1727" xr:uid="{00000000-0005-0000-0000-00002F050000}"/>
    <cellStyle name="Input 2 4 3" xfId="840" xr:uid="{00000000-0005-0000-0000-000030050000}"/>
    <cellStyle name="Input 2 4 3 2" xfId="1825" xr:uid="{00000000-0005-0000-0000-000031050000}"/>
    <cellStyle name="Input 2 4 4" xfId="1027" xr:uid="{00000000-0005-0000-0000-000032050000}"/>
    <cellStyle name="Input 2 4 4 2" xfId="1917" xr:uid="{00000000-0005-0000-0000-000033050000}"/>
    <cellStyle name="Input 2 4 5" xfId="1211" xr:uid="{00000000-0005-0000-0000-000034050000}"/>
    <cellStyle name="Input 2 4 5 2" xfId="2011" xr:uid="{00000000-0005-0000-0000-000035050000}"/>
    <cellStyle name="Input 2 4 6" xfId="1373" xr:uid="{00000000-0005-0000-0000-000036050000}"/>
    <cellStyle name="Input 2 4 6 2" xfId="2102" xr:uid="{00000000-0005-0000-0000-000037050000}"/>
    <cellStyle name="Input 2 4 7" xfId="1645" xr:uid="{00000000-0005-0000-0000-000038050000}"/>
    <cellStyle name="Input 2 5" xfId="452" xr:uid="{00000000-0005-0000-0000-000039050000}"/>
    <cellStyle name="Input 2 5 2" xfId="605" xr:uid="{00000000-0005-0000-0000-00003A050000}"/>
    <cellStyle name="Input 2 5 2 2" xfId="1739" xr:uid="{00000000-0005-0000-0000-00003B050000}"/>
    <cellStyle name="Input 2 5 3" xfId="852" xr:uid="{00000000-0005-0000-0000-00003C050000}"/>
    <cellStyle name="Input 2 5 3 2" xfId="1837" xr:uid="{00000000-0005-0000-0000-00003D050000}"/>
    <cellStyle name="Input 2 5 4" xfId="1039" xr:uid="{00000000-0005-0000-0000-00003E050000}"/>
    <cellStyle name="Input 2 5 4 2" xfId="1929" xr:uid="{00000000-0005-0000-0000-00003F050000}"/>
    <cellStyle name="Input 2 5 5" xfId="1223" xr:uid="{00000000-0005-0000-0000-000040050000}"/>
    <cellStyle name="Input 2 5 5 2" xfId="2023" xr:uid="{00000000-0005-0000-0000-000041050000}"/>
    <cellStyle name="Input 2 5 6" xfId="1385" xr:uid="{00000000-0005-0000-0000-000042050000}"/>
    <cellStyle name="Input 2 5 6 2" xfId="2114" xr:uid="{00000000-0005-0000-0000-000043050000}"/>
    <cellStyle name="Input 2 5 7" xfId="1657" xr:uid="{00000000-0005-0000-0000-000044050000}"/>
    <cellStyle name="Input 2 6" xfId="458" xr:uid="{00000000-0005-0000-0000-000045050000}"/>
    <cellStyle name="Input 2 6 2" xfId="611" xr:uid="{00000000-0005-0000-0000-000046050000}"/>
    <cellStyle name="Input 2 6 2 2" xfId="1745" xr:uid="{00000000-0005-0000-0000-000047050000}"/>
    <cellStyle name="Input 2 6 3" xfId="858" xr:uid="{00000000-0005-0000-0000-000048050000}"/>
    <cellStyle name="Input 2 6 3 2" xfId="1843" xr:uid="{00000000-0005-0000-0000-000049050000}"/>
    <cellStyle name="Input 2 6 4" xfId="1045" xr:uid="{00000000-0005-0000-0000-00004A050000}"/>
    <cellStyle name="Input 2 6 4 2" xfId="1935" xr:uid="{00000000-0005-0000-0000-00004B050000}"/>
    <cellStyle name="Input 2 6 5" xfId="1229" xr:uid="{00000000-0005-0000-0000-00004C050000}"/>
    <cellStyle name="Input 2 6 5 2" xfId="2029" xr:uid="{00000000-0005-0000-0000-00004D050000}"/>
    <cellStyle name="Input 2 6 6" xfId="1391" xr:uid="{00000000-0005-0000-0000-00004E050000}"/>
    <cellStyle name="Input 2 6 6 2" xfId="2120" xr:uid="{00000000-0005-0000-0000-00004F050000}"/>
    <cellStyle name="Input 2 6 7" xfId="1663" xr:uid="{00000000-0005-0000-0000-000050050000}"/>
    <cellStyle name="Input 2 7" xfId="430" xr:uid="{00000000-0005-0000-0000-000051050000}"/>
    <cellStyle name="Input 2 7 2" xfId="585" xr:uid="{00000000-0005-0000-0000-000052050000}"/>
    <cellStyle name="Input 2 7 2 2" xfId="1719" xr:uid="{00000000-0005-0000-0000-000053050000}"/>
    <cellStyle name="Input 2 7 3" xfId="831" xr:uid="{00000000-0005-0000-0000-000054050000}"/>
    <cellStyle name="Input 2 7 3 2" xfId="1817" xr:uid="{00000000-0005-0000-0000-000055050000}"/>
    <cellStyle name="Input 2 7 4" xfId="1017" xr:uid="{00000000-0005-0000-0000-000056050000}"/>
    <cellStyle name="Input 2 7 4 2" xfId="1907" xr:uid="{00000000-0005-0000-0000-000057050000}"/>
    <cellStyle name="Input 2 7 5" xfId="1201" xr:uid="{00000000-0005-0000-0000-000058050000}"/>
    <cellStyle name="Input 2 7 5 2" xfId="2001" xr:uid="{00000000-0005-0000-0000-000059050000}"/>
    <cellStyle name="Input 2 7 6" xfId="1363" xr:uid="{00000000-0005-0000-0000-00005A050000}"/>
    <cellStyle name="Input 2 7 6 2" xfId="2092" xr:uid="{00000000-0005-0000-0000-00005B050000}"/>
    <cellStyle name="Input 2 7 7" xfId="1635" xr:uid="{00000000-0005-0000-0000-00005C050000}"/>
    <cellStyle name="Input 2 8" xfId="448" xr:uid="{00000000-0005-0000-0000-00005D050000}"/>
    <cellStyle name="Input 2 8 2" xfId="601" xr:uid="{00000000-0005-0000-0000-00005E050000}"/>
    <cellStyle name="Input 2 8 2 2" xfId="1735" xr:uid="{00000000-0005-0000-0000-00005F050000}"/>
    <cellStyle name="Input 2 8 3" xfId="848" xr:uid="{00000000-0005-0000-0000-000060050000}"/>
    <cellStyle name="Input 2 8 3 2" xfId="1833" xr:uid="{00000000-0005-0000-0000-000061050000}"/>
    <cellStyle name="Input 2 8 4" xfId="1035" xr:uid="{00000000-0005-0000-0000-000062050000}"/>
    <cellStyle name="Input 2 8 4 2" xfId="1925" xr:uid="{00000000-0005-0000-0000-000063050000}"/>
    <cellStyle name="Input 2 8 5" xfId="1219" xr:uid="{00000000-0005-0000-0000-000064050000}"/>
    <cellStyle name="Input 2 8 5 2" xfId="2019" xr:uid="{00000000-0005-0000-0000-000065050000}"/>
    <cellStyle name="Input 2 8 6" xfId="1381" xr:uid="{00000000-0005-0000-0000-000066050000}"/>
    <cellStyle name="Input 2 8 6 2" xfId="2110" xr:uid="{00000000-0005-0000-0000-000067050000}"/>
    <cellStyle name="Input 2 8 7" xfId="1653" xr:uid="{00000000-0005-0000-0000-000068050000}"/>
    <cellStyle name="Input 2 9" xfId="427" xr:uid="{00000000-0005-0000-0000-000069050000}"/>
    <cellStyle name="Input 2 9 2" xfId="582" xr:uid="{00000000-0005-0000-0000-00006A050000}"/>
    <cellStyle name="Input 2 9 2 2" xfId="1716" xr:uid="{00000000-0005-0000-0000-00006B050000}"/>
    <cellStyle name="Input 2 9 3" xfId="828" xr:uid="{00000000-0005-0000-0000-00006C050000}"/>
    <cellStyle name="Input 2 9 3 2" xfId="1814" xr:uid="{00000000-0005-0000-0000-00006D050000}"/>
    <cellStyle name="Input 2 9 4" xfId="1014" xr:uid="{00000000-0005-0000-0000-00006E050000}"/>
    <cellStyle name="Input 2 9 4 2" xfId="1904" xr:uid="{00000000-0005-0000-0000-00006F050000}"/>
    <cellStyle name="Input 2 9 5" xfId="1198" xr:uid="{00000000-0005-0000-0000-000070050000}"/>
    <cellStyle name="Input 2 9 5 2" xfId="1998" xr:uid="{00000000-0005-0000-0000-000071050000}"/>
    <cellStyle name="Input 2 9 6" xfId="1360" xr:uid="{00000000-0005-0000-0000-000072050000}"/>
    <cellStyle name="Input 2 9 6 2" xfId="2089" xr:uid="{00000000-0005-0000-0000-000073050000}"/>
    <cellStyle name="Input 2 9 7" xfId="1632" xr:uid="{00000000-0005-0000-0000-000074050000}"/>
    <cellStyle name="Linked Cell 2" xfId="80" xr:uid="{00000000-0005-0000-0000-000075050000}"/>
    <cellStyle name="Neutral 2" xfId="81" xr:uid="{00000000-0005-0000-0000-000076050000}"/>
    <cellStyle name="Normal" xfId="0" builtinId="0"/>
    <cellStyle name="Normal 10" xfId="99" xr:uid="{00000000-0005-0000-0000-000078050000}"/>
    <cellStyle name="Normal 10 10" xfId="1533" xr:uid="{00000000-0005-0000-0000-000079050000}"/>
    <cellStyle name="Normal 10 2" xfId="306" xr:uid="{00000000-0005-0000-0000-00007A050000}"/>
    <cellStyle name="Normal 10 2 2" xfId="1589" xr:uid="{00000000-0005-0000-0000-00007B050000}"/>
    <cellStyle name="Normal 10 3" xfId="471" xr:uid="{00000000-0005-0000-0000-00007C050000}"/>
    <cellStyle name="Normal 10 3 2" xfId="1674" xr:uid="{00000000-0005-0000-0000-00007D050000}"/>
    <cellStyle name="Normal 10 4" xfId="695" xr:uid="{00000000-0005-0000-0000-00007E050000}"/>
    <cellStyle name="Normal 10 4 2" xfId="1771" xr:uid="{00000000-0005-0000-0000-00007F050000}"/>
    <cellStyle name="Normal 10 5" xfId="887" xr:uid="{00000000-0005-0000-0000-000080050000}"/>
    <cellStyle name="Normal 10 5 2" xfId="1860" xr:uid="{00000000-0005-0000-0000-000081050000}"/>
    <cellStyle name="Normal 10 6" xfId="1069" xr:uid="{00000000-0005-0000-0000-000082050000}"/>
    <cellStyle name="Normal 10 6 2" xfId="1955" xr:uid="{00000000-0005-0000-0000-000083050000}"/>
    <cellStyle name="Normal 10 7" xfId="1247" xr:uid="{00000000-0005-0000-0000-000084050000}"/>
    <cellStyle name="Normal 10 7 2" xfId="2045" xr:uid="{00000000-0005-0000-0000-000085050000}"/>
    <cellStyle name="Normal 10 8" xfId="1450" xr:uid="{00000000-0005-0000-0000-000086050000}"/>
    <cellStyle name="Normal 10 8 2" xfId="2178" xr:uid="{00000000-0005-0000-0000-000087050000}"/>
    <cellStyle name="Normal 10 9" xfId="1475" xr:uid="{00000000-0005-0000-0000-000088050000}"/>
    <cellStyle name="Normal 10 9 2" xfId="2202" xr:uid="{00000000-0005-0000-0000-000089050000}"/>
    <cellStyle name="Normal 11" xfId="215" xr:uid="{00000000-0005-0000-0000-00008A050000}"/>
    <cellStyle name="Normal 11 10" xfId="1560" xr:uid="{00000000-0005-0000-0000-00008B050000}"/>
    <cellStyle name="Normal 11 2" xfId="406" xr:uid="{00000000-0005-0000-0000-00008C050000}"/>
    <cellStyle name="Normal 11 2 2" xfId="1616" xr:uid="{00000000-0005-0000-0000-00008D050000}"/>
    <cellStyle name="Normal 11 3" xfId="563" xr:uid="{00000000-0005-0000-0000-00008E050000}"/>
    <cellStyle name="Normal 11 3 2" xfId="1701" xr:uid="{00000000-0005-0000-0000-00008F050000}"/>
    <cellStyle name="Normal 11 4" xfId="806" xr:uid="{00000000-0005-0000-0000-000090050000}"/>
    <cellStyle name="Normal 11 4 2" xfId="1798" xr:uid="{00000000-0005-0000-0000-000091050000}"/>
    <cellStyle name="Normal 11 5" xfId="992" xr:uid="{00000000-0005-0000-0000-000092050000}"/>
    <cellStyle name="Normal 11 5 2" xfId="1887" xr:uid="{00000000-0005-0000-0000-000093050000}"/>
    <cellStyle name="Normal 11 6" xfId="1176" xr:uid="{00000000-0005-0000-0000-000094050000}"/>
    <cellStyle name="Normal 11 6 2" xfId="1982" xr:uid="{00000000-0005-0000-0000-000095050000}"/>
    <cellStyle name="Normal 11 7" xfId="1339" xr:uid="{00000000-0005-0000-0000-000096050000}"/>
    <cellStyle name="Normal 11 7 2" xfId="2072" xr:uid="{00000000-0005-0000-0000-000097050000}"/>
    <cellStyle name="Normal 11 8" xfId="1411" xr:uid="{00000000-0005-0000-0000-000098050000}"/>
    <cellStyle name="Normal 11 8 2" xfId="2140" xr:uid="{00000000-0005-0000-0000-000099050000}"/>
    <cellStyle name="Normal 11 9" xfId="1502" xr:uid="{00000000-0005-0000-0000-00009A050000}"/>
    <cellStyle name="Normal 11 9 2" xfId="2229" xr:uid="{00000000-0005-0000-0000-00009B050000}"/>
    <cellStyle name="Normal 12" xfId="216" xr:uid="{00000000-0005-0000-0000-00009C050000}"/>
    <cellStyle name="Normal 12 10" xfId="1561" xr:uid="{00000000-0005-0000-0000-00009D050000}"/>
    <cellStyle name="Normal 12 2" xfId="407" xr:uid="{00000000-0005-0000-0000-00009E050000}"/>
    <cellStyle name="Normal 12 2 2" xfId="1617" xr:uid="{00000000-0005-0000-0000-00009F050000}"/>
    <cellStyle name="Normal 12 3" xfId="564" xr:uid="{00000000-0005-0000-0000-0000A0050000}"/>
    <cellStyle name="Normal 12 3 2" xfId="1702" xr:uid="{00000000-0005-0000-0000-0000A1050000}"/>
    <cellStyle name="Normal 12 4" xfId="807" xr:uid="{00000000-0005-0000-0000-0000A2050000}"/>
    <cellStyle name="Normal 12 4 2" xfId="1799" xr:uid="{00000000-0005-0000-0000-0000A3050000}"/>
    <cellStyle name="Normal 12 5" xfId="993" xr:uid="{00000000-0005-0000-0000-0000A4050000}"/>
    <cellStyle name="Normal 12 5 2" xfId="1888" xr:uid="{00000000-0005-0000-0000-0000A5050000}"/>
    <cellStyle name="Normal 12 6" xfId="1177" xr:uid="{00000000-0005-0000-0000-0000A6050000}"/>
    <cellStyle name="Normal 12 6 2" xfId="1983" xr:uid="{00000000-0005-0000-0000-0000A7050000}"/>
    <cellStyle name="Normal 12 7" xfId="1340" xr:uid="{00000000-0005-0000-0000-0000A8050000}"/>
    <cellStyle name="Normal 12 7 2" xfId="2073" xr:uid="{00000000-0005-0000-0000-0000A9050000}"/>
    <cellStyle name="Normal 12 8" xfId="1407" xr:uid="{00000000-0005-0000-0000-0000AA050000}"/>
    <cellStyle name="Normal 12 8 2" xfId="2136" xr:uid="{00000000-0005-0000-0000-0000AB050000}"/>
    <cellStyle name="Normal 12 9" xfId="1503" xr:uid="{00000000-0005-0000-0000-0000AC050000}"/>
    <cellStyle name="Normal 12 9 2" xfId="2230" xr:uid="{00000000-0005-0000-0000-0000AD050000}"/>
    <cellStyle name="Normal 13" xfId="223" xr:uid="{00000000-0005-0000-0000-0000AE050000}"/>
    <cellStyle name="Normal 14" xfId="227" xr:uid="{00000000-0005-0000-0000-0000AF050000}"/>
    <cellStyle name="Normal 14 2" xfId="1567" xr:uid="{00000000-0005-0000-0000-0000B0050000}"/>
    <cellStyle name="Normal 15" xfId="1395" xr:uid="{00000000-0005-0000-0000-0000B1050000}"/>
    <cellStyle name="Normal 15 2" xfId="2124" xr:uid="{00000000-0005-0000-0000-0000B2050000}"/>
    <cellStyle name="Normal 16" xfId="1397" xr:uid="{00000000-0005-0000-0000-0000B3050000}"/>
    <cellStyle name="Normal 16 2" xfId="2126" xr:uid="{00000000-0005-0000-0000-0000B4050000}"/>
    <cellStyle name="Normal 17" xfId="1399" xr:uid="{00000000-0005-0000-0000-0000B5050000}"/>
    <cellStyle name="Normal 17 2" xfId="2128" xr:uid="{00000000-0005-0000-0000-0000B6050000}"/>
    <cellStyle name="Normal 18" xfId="1401" xr:uid="{00000000-0005-0000-0000-0000B7050000}"/>
    <cellStyle name="Normal 18 2" xfId="2130" xr:uid="{00000000-0005-0000-0000-0000B8050000}"/>
    <cellStyle name="Normal 19" xfId="1403" xr:uid="{00000000-0005-0000-0000-0000B9050000}"/>
    <cellStyle name="Normal 19 2" xfId="2132" xr:uid="{00000000-0005-0000-0000-0000BA050000}"/>
    <cellStyle name="Normal 2" xfId="10" xr:uid="{00000000-0005-0000-0000-0000BB050000}"/>
    <cellStyle name="Normal 2 10" xfId="645" xr:uid="{00000000-0005-0000-0000-0000BC050000}"/>
    <cellStyle name="Normal 2 11" xfId="1063" xr:uid="{00000000-0005-0000-0000-0000BD050000}"/>
    <cellStyle name="Normal 2 12" xfId="1394" xr:uid="{00000000-0005-0000-0000-0000BE050000}"/>
    <cellStyle name="Normal 2 12 2" xfId="2123" xr:uid="{00000000-0005-0000-0000-0000BF050000}"/>
    <cellStyle name="Normal 2 13" xfId="1511" xr:uid="{00000000-0005-0000-0000-0000C0050000}"/>
    <cellStyle name="Normal 2 14" xfId="2244" xr:uid="{00000000-0005-0000-0000-0000C1050000}"/>
    <cellStyle name="Normal 2 2" xfId="23" xr:uid="{00000000-0005-0000-0000-0000C2050000}"/>
    <cellStyle name="Normal 2 3" xfId="219" xr:uid="{00000000-0005-0000-0000-0000C3050000}"/>
    <cellStyle name="Normal 2 3 10" xfId="1564" xr:uid="{00000000-0005-0000-0000-0000C4050000}"/>
    <cellStyle name="Normal 2 3 2" xfId="410" xr:uid="{00000000-0005-0000-0000-0000C5050000}"/>
    <cellStyle name="Normal 2 3 2 2" xfId="1620" xr:uid="{00000000-0005-0000-0000-0000C6050000}"/>
    <cellStyle name="Normal 2 3 3" xfId="567" xr:uid="{00000000-0005-0000-0000-0000C7050000}"/>
    <cellStyle name="Normal 2 3 3 2" xfId="1705" xr:uid="{00000000-0005-0000-0000-0000C8050000}"/>
    <cellStyle name="Normal 2 3 4" xfId="810" xr:uid="{00000000-0005-0000-0000-0000C9050000}"/>
    <cellStyle name="Normal 2 3 4 2" xfId="1802" xr:uid="{00000000-0005-0000-0000-0000CA050000}"/>
    <cellStyle name="Normal 2 3 5" xfId="996" xr:uid="{00000000-0005-0000-0000-0000CB050000}"/>
    <cellStyle name="Normal 2 3 5 2" xfId="1891" xr:uid="{00000000-0005-0000-0000-0000CC050000}"/>
    <cellStyle name="Normal 2 3 6" xfId="1180" xr:uid="{00000000-0005-0000-0000-0000CD050000}"/>
    <cellStyle name="Normal 2 3 6 2" xfId="1986" xr:uid="{00000000-0005-0000-0000-0000CE050000}"/>
    <cellStyle name="Normal 2 3 7" xfId="1343" xr:uid="{00000000-0005-0000-0000-0000CF050000}"/>
    <cellStyle name="Normal 2 3 7 2" xfId="2076" xr:uid="{00000000-0005-0000-0000-0000D0050000}"/>
    <cellStyle name="Normal 2 3 8" xfId="1435" xr:uid="{00000000-0005-0000-0000-0000D1050000}"/>
    <cellStyle name="Normal 2 3 8 2" xfId="2163" xr:uid="{00000000-0005-0000-0000-0000D2050000}"/>
    <cellStyle name="Normal 2 3 9" xfId="1506" xr:uid="{00000000-0005-0000-0000-0000D3050000}"/>
    <cellStyle name="Normal 2 3 9 2" xfId="2233" xr:uid="{00000000-0005-0000-0000-0000D4050000}"/>
    <cellStyle name="Normal 2 4" xfId="224" xr:uid="{00000000-0005-0000-0000-0000D5050000}"/>
    <cellStyle name="Normal 2 4 2" xfId="414" xr:uid="{00000000-0005-0000-0000-0000D6050000}"/>
    <cellStyle name="Normal 2 4 3" xfId="571" xr:uid="{00000000-0005-0000-0000-0000D7050000}"/>
    <cellStyle name="Normal 2 4 4" xfId="815" xr:uid="{00000000-0005-0000-0000-0000D8050000}"/>
    <cellStyle name="Normal 2 4 5" xfId="1001" xr:uid="{00000000-0005-0000-0000-0000D9050000}"/>
    <cellStyle name="Normal 2 4 6" xfId="1185" xr:uid="{00000000-0005-0000-0000-0000DA050000}"/>
    <cellStyle name="Normal 2 4 7" xfId="1347" xr:uid="{00000000-0005-0000-0000-0000DB050000}"/>
    <cellStyle name="Normal 2 5" xfId="240" xr:uid="{00000000-0005-0000-0000-0000DC050000}"/>
    <cellStyle name="Normal 2 6" xfId="229" xr:uid="{00000000-0005-0000-0000-0000DD050000}"/>
    <cellStyle name="Normal 2 7" xfId="359" xr:uid="{00000000-0005-0000-0000-0000DE050000}"/>
    <cellStyle name="Normal 2 8" xfId="616" xr:uid="{00000000-0005-0000-0000-0000DF050000}"/>
    <cellStyle name="Normal 2 9" xfId="797" xr:uid="{00000000-0005-0000-0000-0000E0050000}"/>
    <cellStyle name="Normal 20" xfId="1512" xr:uid="{00000000-0005-0000-0000-0000E1050000}"/>
    <cellStyle name="Normal 20 2" xfId="2241" xr:uid="{00000000-0005-0000-0000-0000E2050000}"/>
    <cellStyle name="Normal 21" xfId="2237" xr:uid="{00000000-0005-0000-0000-0000E3050000}"/>
    <cellStyle name="Normal 22" xfId="2239" xr:uid="{00000000-0005-0000-0000-0000E4050000}"/>
    <cellStyle name="Normal 22 2" xfId="2252" xr:uid="{00000000-0005-0000-0000-0000E5050000}"/>
    <cellStyle name="Normal 23" xfId="2247" xr:uid="{00000000-0005-0000-0000-0000E6050000}"/>
    <cellStyle name="Normal 24" xfId="2250" xr:uid="{00000000-0005-0000-0000-0000E7050000}"/>
    <cellStyle name="Normal 3" xfId="11" xr:uid="{00000000-0005-0000-0000-0000E8050000}"/>
    <cellStyle name="Normal 3 10" xfId="984" xr:uid="{00000000-0005-0000-0000-0000E9050000}"/>
    <cellStyle name="Normal 3 11" xfId="2242" xr:uid="{00000000-0005-0000-0000-0000EA050000}"/>
    <cellStyle name="Normal 3 2" xfId="19" xr:uid="{00000000-0005-0000-0000-0000EB050000}"/>
    <cellStyle name="Normal 3 2 2" xfId="40" xr:uid="{00000000-0005-0000-0000-0000EC050000}"/>
    <cellStyle name="Normal 3 2 2 2" xfId="121" xr:uid="{00000000-0005-0000-0000-0000ED050000}"/>
    <cellStyle name="Normal 3 2 2 3" xfId="142" xr:uid="{00000000-0005-0000-0000-0000EE050000}"/>
    <cellStyle name="Normal 3 2 2 4" xfId="163" xr:uid="{00000000-0005-0000-0000-0000EF050000}"/>
    <cellStyle name="Normal 3 2 2 5" xfId="184" xr:uid="{00000000-0005-0000-0000-0000F0050000}"/>
    <cellStyle name="Normal 3 2 2 6" xfId="205" xr:uid="{00000000-0005-0000-0000-0000F1050000}"/>
    <cellStyle name="Normal 3 3" xfId="33" xr:uid="{00000000-0005-0000-0000-0000F2050000}"/>
    <cellStyle name="Normal 3 3 2" xfId="114" xr:uid="{00000000-0005-0000-0000-0000F3050000}"/>
    <cellStyle name="Normal 3 3 3" xfId="135" xr:uid="{00000000-0005-0000-0000-0000F4050000}"/>
    <cellStyle name="Normal 3 3 4" xfId="156" xr:uid="{00000000-0005-0000-0000-0000F5050000}"/>
    <cellStyle name="Normal 3 3 5" xfId="177" xr:uid="{00000000-0005-0000-0000-0000F6050000}"/>
    <cellStyle name="Normal 3 3 6" xfId="198" xr:uid="{00000000-0005-0000-0000-0000F7050000}"/>
    <cellStyle name="Normal 3 4" xfId="241" xr:uid="{00000000-0005-0000-0000-0000F8050000}"/>
    <cellStyle name="Normal 3 5" xfId="231" xr:uid="{00000000-0005-0000-0000-0000F9050000}"/>
    <cellStyle name="Normal 3 6" xfId="321" xr:uid="{00000000-0005-0000-0000-0000FA050000}"/>
    <cellStyle name="Normal 3 7" xfId="618" xr:uid="{00000000-0005-0000-0000-0000FB050000}"/>
    <cellStyle name="Normal 3 8" xfId="757" xr:uid="{00000000-0005-0000-0000-0000FC050000}"/>
    <cellStyle name="Normal 3 9" xfId="991" xr:uid="{00000000-0005-0000-0000-0000FD050000}"/>
    <cellStyle name="Normal 4" xfId="31" xr:uid="{00000000-0005-0000-0000-0000FE050000}"/>
    <cellStyle name="Normal 4 10" xfId="619" xr:uid="{00000000-0005-0000-0000-0000FF050000}"/>
    <cellStyle name="Normal 4 11" xfId="737" xr:uid="{00000000-0005-0000-0000-000000060000}"/>
    <cellStyle name="Normal 4 12" xfId="989" xr:uid="{00000000-0005-0000-0000-000001060000}"/>
    <cellStyle name="Normal 4 13" xfId="1161" xr:uid="{00000000-0005-0000-0000-000002060000}"/>
    <cellStyle name="Normal 4 14" xfId="1459" xr:uid="{00000000-0005-0000-0000-000003060000}"/>
    <cellStyle name="Normal 4 14 2" xfId="2186" xr:uid="{00000000-0005-0000-0000-000004060000}"/>
    <cellStyle name="Normal 4 15" xfId="1457" xr:uid="{00000000-0005-0000-0000-000005060000}"/>
    <cellStyle name="Normal 4 15 2" xfId="2184" xr:uid="{00000000-0005-0000-0000-000006060000}"/>
    <cellStyle name="Normal 4 16" xfId="1515" xr:uid="{00000000-0005-0000-0000-000007060000}"/>
    <cellStyle name="Normal 4 2" xfId="112" xr:uid="{00000000-0005-0000-0000-000008060000}"/>
    <cellStyle name="Normal 4 2 10" xfId="1535" xr:uid="{00000000-0005-0000-0000-000009060000}"/>
    <cellStyle name="Normal 4 2 2" xfId="319" xr:uid="{00000000-0005-0000-0000-00000A060000}"/>
    <cellStyle name="Normal 4 2 2 2" xfId="1591" xr:uid="{00000000-0005-0000-0000-00000B060000}"/>
    <cellStyle name="Normal 4 2 3" xfId="484" xr:uid="{00000000-0005-0000-0000-00000C060000}"/>
    <cellStyle name="Normal 4 2 3 2" xfId="1676" xr:uid="{00000000-0005-0000-0000-00000D060000}"/>
    <cellStyle name="Normal 4 2 4" xfId="708" xr:uid="{00000000-0005-0000-0000-00000E060000}"/>
    <cellStyle name="Normal 4 2 4 2" xfId="1773" xr:uid="{00000000-0005-0000-0000-00000F060000}"/>
    <cellStyle name="Normal 4 2 5" xfId="900" xr:uid="{00000000-0005-0000-0000-000010060000}"/>
    <cellStyle name="Normal 4 2 5 2" xfId="1862" xr:uid="{00000000-0005-0000-0000-000011060000}"/>
    <cellStyle name="Normal 4 2 6" xfId="1082" xr:uid="{00000000-0005-0000-0000-000012060000}"/>
    <cellStyle name="Normal 4 2 6 2" xfId="1957" xr:uid="{00000000-0005-0000-0000-000013060000}"/>
    <cellStyle name="Normal 4 2 7" xfId="1260" xr:uid="{00000000-0005-0000-0000-000014060000}"/>
    <cellStyle name="Normal 4 2 7 2" xfId="2047" xr:uid="{00000000-0005-0000-0000-000015060000}"/>
    <cellStyle name="Normal 4 2 8" xfId="1431" xr:uid="{00000000-0005-0000-0000-000016060000}"/>
    <cellStyle name="Normal 4 2 8 2" xfId="2159" xr:uid="{00000000-0005-0000-0000-000017060000}"/>
    <cellStyle name="Normal 4 2 9" xfId="1477" xr:uid="{00000000-0005-0000-0000-000018060000}"/>
    <cellStyle name="Normal 4 2 9 2" xfId="2204" xr:uid="{00000000-0005-0000-0000-000019060000}"/>
    <cellStyle name="Normal 4 3" xfId="133" xr:uid="{00000000-0005-0000-0000-00001A060000}"/>
    <cellStyle name="Normal 4 3 10" xfId="1540" xr:uid="{00000000-0005-0000-0000-00001B060000}"/>
    <cellStyle name="Normal 4 3 2" xfId="338" xr:uid="{00000000-0005-0000-0000-00001C060000}"/>
    <cellStyle name="Normal 4 3 2 2" xfId="1596" xr:uid="{00000000-0005-0000-0000-00001D060000}"/>
    <cellStyle name="Normal 4 3 3" xfId="501" xr:uid="{00000000-0005-0000-0000-00001E060000}"/>
    <cellStyle name="Normal 4 3 3 2" xfId="1681" xr:uid="{00000000-0005-0000-0000-00001F060000}"/>
    <cellStyle name="Normal 4 3 4" xfId="728" xr:uid="{00000000-0005-0000-0000-000020060000}"/>
    <cellStyle name="Normal 4 3 4 2" xfId="1778" xr:uid="{00000000-0005-0000-0000-000021060000}"/>
    <cellStyle name="Normal 4 3 5" xfId="919" xr:uid="{00000000-0005-0000-0000-000022060000}"/>
    <cellStyle name="Normal 4 3 5 2" xfId="1867" xr:uid="{00000000-0005-0000-0000-000023060000}"/>
    <cellStyle name="Normal 4 3 6" xfId="1101" xr:uid="{00000000-0005-0000-0000-000024060000}"/>
    <cellStyle name="Normal 4 3 6 2" xfId="1962" xr:uid="{00000000-0005-0000-0000-000025060000}"/>
    <cellStyle name="Normal 4 3 7" xfId="1277" xr:uid="{00000000-0005-0000-0000-000026060000}"/>
    <cellStyle name="Normal 4 3 7 2" xfId="2052" xr:uid="{00000000-0005-0000-0000-000027060000}"/>
    <cellStyle name="Normal 4 3 8" xfId="1419" xr:uid="{00000000-0005-0000-0000-000028060000}"/>
    <cellStyle name="Normal 4 3 8 2" xfId="2148" xr:uid="{00000000-0005-0000-0000-000029060000}"/>
    <cellStyle name="Normal 4 3 9" xfId="1482" xr:uid="{00000000-0005-0000-0000-00002A060000}"/>
    <cellStyle name="Normal 4 3 9 2" xfId="2209" xr:uid="{00000000-0005-0000-0000-00002B060000}"/>
    <cellStyle name="Normal 4 4" xfId="154" xr:uid="{00000000-0005-0000-0000-00002C060000}"/>
    <cellStyle name="Normal 4 4 10" xfId="1545" xr:uid="{00000000-0005-0000-0000-00002D060000}"/>
    <cellStyle name="Normal 4 4 2" xfId="357" xr:uid="{00000000-0005-0000-0000-00002E060000}"/>
    <cellStyle name="Normal 4 4 2 2" xfId="1601" xr:uid="{00000000-0005-0000-0000-00002F060000}"/>
    <cellStyle name="Normal 4 4 3" xfId="518" xr:uid="{00000000-0005-0000-0000-000030060000}"/>
    <cellStyle name="Normal 4 4 3 2" xfId="1686" xr:uid="{00000000-0005-0000-0000-000031060000}"/>
    <cellStyle name="Normal 4 4 4" xfId="748" xr:uid="{00000000-0005-0000-0000-000032060000}"/>
    <cellStyle name="Normal 4 4 4 2" xfId="1783" xr:uid="{00000000-0005-0000-0000-000033060000}"/>
    <cellStyle name="Normal 4 4 5" xfId="938" xr:uid="{00000000-0005-0000-0000-000034060000}"/>
    <cellStyle name="Normal 4 4 5 2" xfId="1872" xr:uid="{00000000-0005-0000-0000-000035060000}"/>
    <cellStyle name="Normal 4 4 6" xfId="1121" xr:uid="{00000000-0005-0000-0000-000036060000}"/>
    <cellStyle name="Normal 4 4 6 2" xfId="1967" xr:uid="{00000000-0005-0000-0000-000037060000}"/>
    <cellStyle name="Normal 4 4 7" xfId="1294" xr:uid="{00000000-0005-0000-0000-000038060000}"/>
    <cellStyle name="Normal 4 4 7 2" xfId="2057" xr:uid="{00000000-0005-0000-0000-000039060000}"/>
    <cellStyle name="Normal 4 4 8" xfId="1433" xr:uid="{00000000-0005-0000-0000-00003A060000}"/>
    <cellStyle name="Normal 4 4 8 2" xfId="2161" xr:uid="{00000000-0005-0000-0000-00003B060000}"/>
    <cellStyle name="Normal 4 4 9" xfId="1487" xr:uid="{00000000-0005-0000-0000-00003C060000}"/>
    <cellStyle name="Normal 4 4 9 2" xfId="2214" xr:uid="{00000000-0005-0000-0000-00003D060000}"/>
    <cellStyle name="Normal 4 5" xfId="175" xr:uid="{00000000-0005-0000-0000-00003E060000}"/>
    <cellStyle name="Normal 4 5 10" xfId="1550" xr:uid="{00000000-0005-0000-0000-00003F060000}"/>
    <cellStyle name="Normal 4 5 2" xfId="376" xr:uid="{00000000-0005-0000-0000-000040060000}"/>
    <cellStyle name="Normal 4 5 2 2" xfId="1606" xr:uid="{00000000-0005-0000-0000-000041060000}"/>
    <cellStyle name="Normal 4 5 3" xfId="535" xr:uid="{00000000-0005-0000-0000-000042060000}"/>
    <cellStyle name="Normal 4 5 3 2" xfId="1691" xr:uid="{00000000-0005-0000-0000-000043060000}"/>
    <cellStyle name="Normal 4 5 4" xfId="768" xr:uid="{00000000-0005-0000-0000-000044060000}"/>
    <cellStyle name="Normal 4 5 4 2" xfId="1788" xr:uid="{00000000-0005-0000-0000-000045060000}"/>
    <cellStyle name="Normal 4 5 5" xfId="957" xr:uid="{00000000-0005-0000-0000-000046060000}"/>
    <cellStyle name="Normal 4 5 5 2" xfId="1877" xr:uid="{00000000-0005-0000-0000-000047060000}"/>
    <cellStyle name="Normal 4 5 6" xfId="1140" xr:uid="{00000000-0005-0000-0000-000048060000}"/>
    <cellStyle name="Normal 4 5 6 2" xfId="1972" xr:uid="{00000000-0005-0000-0000-000049060000}"/>
    <cellStyle name="Normal 4 5 7" xfId="1311" xr:uid="{00000000-0005-0000-0000-00004A060000}"/>
    <cellStyle name="Normal 4 5 7 2" xfId="2062" xr:uid="{00000000-0005-0000-0000-00004B060000}"/>
    <cellStyle name="Normal 4 5 8" xfId="1416" xr:uid="{00000000-0005-0000-0000-00004C060000}"/>
    <cellStyle name="Normal 4 5 8 2" xfId="2145" xr:uid="{00000000-0005-0000-0000-00004D060000}"/>
    <cellStyle name="Normal 4 5 9" xfId="1492" xr:uid="{00000000-0005-0000-0000-00004E060000}"/>
    <cellStyle name="Normal 4 5 9 2" xfId="2219" xr:uid="{00000000-0005-0000-0000-00004F060000}"/>
    <cellStyle name="Normal 4 6" xfId="196" xr:uid="{00000000-0005-0000-0000-000050060000}"/>
    <cellStyle name="Normal 4 6 10" xfId="1555" xr:uid="{00000000-0005-0000-0000-000051060000}"/>
    <cellStyle name="Normal 4 6 2" xfId="395" xr:uid="{00000000-0005-0000-0000-000052060000}"/>
    <cellStyle name="Normal 4 6 2 2" xfId="1611" xr:uid="{00000000-0005-0000-0000-000053060000}"/>
    <cellStyle name="Normal 4 6 3" xfId="552" xr:uid="{00000000-0005-0000-0000-000054060000}"/>
    <cellStyle name="Normal 4 6 3 2" xfId="1696" xr:uid="{00000000-0005-0000-0000-000055060000}"/>
    <cellStyle name="Normal 4 6 4" xfId="788" xr:uid="{00000000-0005-0000-0000-000056060000}"/>
    <cellStyle name="Normal 4 6 4 2" xfId="1793" xr:uid="{00000000-0005-0000-0000-000057060000}"/>
    <cellStyle name="Normal 4 6 5" xfId="976" xr:uid="{00000000-0005-0000-0000-000058060000}"/>
    <cellStyle name="Normal 4 6 5 2" xfId="1882" xr:uid="{00000000-0005-0000-0000-000059060000}"/>
    <cellStyle name="Normal 4 6 6" xfId="1159" xr:uid="{00000000-0005-0000-0000-00005A060000}"/>
    <cellStyle name="Normal 4 6 6 2" xfId="1977" xr:uid="{00000000-0005-0000-0000-00005B060000}"/>
    <cellStyle name="Normal 4 6 7" xfId="1328" xr:uid="{00000000-0005-0000-0000-00005C060000}"/>
    <cellStyle name="Normal 4 6 7 2" xfId="2067" xr:uid="{00000000-0005-0000-0000-00005D060000}"/>
    <cellStyle name="Normal 4 6 8" xfId="1430" xr:uid="{00000000-0005-0000-0000-00005E060000}"/>
    <cellStyle name="Normal 4 6 8 2" xfId="2158" xr:uid="{00000000-0005-0000-0000-00005F060000}"/>
    <cellStyle name="Normal 4 6 9" xfId="1497" xr:uid="{00000000-0005-0000-0000-000060060000}"/>
    <cellStyle name="Normal 4 6 9 2" xfId="2224" xr:uid="{00000000-0005-0000-0000-000061060000}"/>
    <cellStyle name="Normal 4 7" xfId="256" xr:uid="{00000000-0005-0000-0000-000062060000}"/>
    <cellStyle name="Normal 4 7 2" xfId="1568" xr:uid="{00000000-0005-0000-0000-000063060000}"/>
    <cellStyle name="Normal 4 8" xfId="232" xr:uid="{00000000-0005-0000-0000-000064060000}"/>
    <cellStyle name="Normal 4 9" xfId="258" xr:uid="{00000000-0005-0000-0000-000065060000}"/>
    <cellStyle name="Normal 5" xfId="44" xr:uid="{00000000-0005-0000-0000-000066060000}"/>
    <cellStyle name="Normal 5 10" xfId="378" xr:uid="{00000000-0005-0000-0000-000067060000}"/>
    <cellStyle name="Normal 5 11" xfId="615" xr:uid="{00000000-0005-0000-0000-000068060000}"/>
    <cellStyle name="Normal 5 12" xfId="648" xr:uid="{00000000-0005-0000-0000-000069060000}"/>
    <cellStyle name="Normal 5 13" xfId="796" xr:uid="{00000000-0005-0000-0000-00006A060000}"/>
    <cellStyle name="Normal 5 14" xfId="1056" xr:uid="{00000000-0005-0000-0000-00006B060000}"/>
    <cellStyle name="Normal 5 15" xfId="1440" xr:uid="{00000000-0005-0000-0000-00006C060000}"/>
    <cellStyle name="Normal 5 15 2" xfId="2168" xr:uid="{00000000-0005-0000-0000-00006D060000}"/>
    <cellStyle name="Normal 5 16" xfId="1454" xr:uid="{00000000-0005-0000-0000-00006E060000}"/>
    <cellStyle name="Normal 5 16 2" xfId="2181" xr:uid="{00000000-0005-0000-0000-00006F060000}"/>
    <cellStyle name="Normal 5 17" xfId="1518" xr:uid="{00000000-0005-0000-0000-000070060000}"/>
    <cellStyle name="Normal 5 2" xfId="89" xr:uid="{00000000-0005-0000-0000-000071060000}"/>
    <cellStyle name="Normal 5 2 10" xfId="1526" xr:uid="{00000000-0005-0000-0000-000072060000}"/>
    <cellStyle name="Normal 5 2 2" xfId="297" xr:uid="{00000000-0005-0000-0000-000073060000}"/>
    <cellStyle name="Normal 5 2 2 2" xfId="1582" xr:uid="{00000000-0005-0000-0000-000074060000}"/>
    <cellStyle name="Normal 5 2 3" xfId="462" xr:uid="{00000000-0005-0000-0000-000075060000}"/>
    <cellStyle name="Normal 5 2 3 2" xfId="1667" xr:uid="{00000000-0005-0000-0000-000076060000}"/>
    <cellStyle name="Normal 5 2 4" xfId="686" xr:uid="{00000000-0005-0000-0000-000077060000}"/>
    <cellStyle name="Normal 5 2 4 2" xfId="1764" xr:uid="{00000000-0005-0000-0000-000078060000}"/>
    <cellStyle name="Normal 5 2 5" xfId="878" xr:uid="{00000000-0005-0000-0000-000079060000}"/>
    <cellStyle name="Normal 5 2 5 2" xfId="1853" xr:uid="{00000000-0005-0000-0000-00007A060000}"/>
    <cellStyle name="Normal 5 2 6" xfId="1059" xr:uid="{00000000-0005-0000-0000-00007B060000}"/>
    <cellStyle name="Normal 5 2 6 2" xfId="1948" xr:uid="{00000000-0005-0000-0000-00007C060000}"/>
    <cellStyle name="Normal 5 2 7" xfId="1238" xr:uid="{00000000-0005-0000-0000-00007D060000}"/>
    <cellStyle name="Normal 5 2 7 2" xfId="2038" xr:uid="{00000000-0005-0000-0000-00007E060000}"/>
    <cellStyle name="Normal 5 2 8" xfId="1422" xr:uid="{00000000-0005-0000-0000-00007F060000}"/>
    <cellStyle name="Normal 5 2 8 2" xfId="2151" xr:uid="{00000000-0005-0000-0000-000080060000}"/>
    <cellStyle name="Normal 5 2 9" xfId="1468" xr:uid="{00000000-0005-0000-0000-000081060000}"/>
    <cellStyle name="Normal 5 2 9 2" xfId="2195" xr:uid="{00000000-0005-0000-0000-000082060000}"/>
    <cellStyle name="Normal 5 3" xfId="125" xr:uid="{00000000-0005-0000-0000-000083060000}"/>
    <cellStyle name="Normal 5 3 10" xfId="1538" xr:uid="{00000000-0005-0000-0000-000084060000}"/>
    <cellStyle name="Normal 5 3 2" xfId="330" xr:uid="{00000000-0005-0000-0000-000085060000}"/>
    <cellStyle name="Normal 5 3 2 2" xfId="1594" xr:uid="{00000000-0005-0000-0000-000086060000}"/>
    <cellStyle name="Normal 5 3 3" xfId="493" xr:uid="{00000000-0005-0000-0000-000087060000}"/>
    <cellStyle name="Normal 5 3 3 2" xfId="1679" xr:uid="{00000000-0005-0000-0000-000088060000}"/>
    <cellStyle name="Normal 5 3 4" xfId="720" xr:uid="{00000000-0005-0000-0000-000089060000}"/>
    <cellStyle name="Normal 5 3 4 2" xfId="1776" xr:uid="{00000000-0005-0000-0000-00008A060000}"/>
    <cellStyle name="Normal 5 3 5" xfId="911" xr:uid="{00000000-0005-0000-0000-00008B060000}"/>
    <cellStyle name="Normal 5 3 5 2" xfId="1865" xr:uid="{00000000-0005-0000-0000-00008C060000}"/>
    <cellStyle name="Normal 5 3 6" xfId="1093" xr:uid="{00000000-0005-0000-0000-00008D060000}"/>
    <cellStyle name="Normal 5 3 6 2" xfId="1960" xr:uid="{00000000-0005-0000-0000-00008E060000}"/>
    <cellStyle name="Normal 5 3 7" xfId="1269" xr:uid="{00000000-0005-0000-0000-00008F060000}"/>
    <cellStyle name="Normal 5 3 7 2" xfId="2050" xr:uid="{00000000-0005-0000-0000-000090060000}"/>
    <cellStyle name="Normal 5 3 8" xfId="1438" xr:uid="{00000000-0005-0000-0000-000091060000}"/>
    <cellStyle name="Normal 5 3 8 2" xfId="2166" xr:uid="{00000000-0005-0000-0000-000092060000}"/>
    <cellStyle name="Normal 5 3 9" xfId="1480" xr:uid="{00000000-0005-0000-0000-000093060000}"/>
    <cellStyle name="Normal 5 3 9 2" xfId="2207" xr:uid="{00000000-0005-0000-0000-000094060000}"/>
    <cellStyle name="Normal 5 4" xfId="146" xr:uid="{00000000-0005-0000-0000-000095060000}"/>
    <cellStyle name="Normal 5 4 10" xfId="1543" xr:uid="{00000000-0005-0000-0000-000096060000}"/>
    <cellStyle name="Normal 5 4 2" xfId="349" xr:uid="{00000000-0005-0000-0000-000097060000}"/>
    <cellStyle name="Normal 5 4 2 2" xfId="1599" xr:uid="{00000000-0005-0000-0000-000098060000}"/>
    <cellStyle name="Normal 5 4 3" xfId="510" xr:uid="{00000000-0005-0000-0000-000099060000}"/>
    <cellStyle name="Normal 5 4 3 2" xfId="1684" xr:uid="{00000000-0005-0000-0000-00009A060000}"/>
    <cellStyle name="Normal 5 4 4" xfId="740" xr:uid="{00000000-0005-0000-0000-00009B060000}"/>
    <cellStyle name="Normal 5 4 4 2" xfId="1781" xr:uid="{00000000-0005-0000-0000-00009C060000}"/>
    <cellStyle name="Normal 5 4 5" xfId="930" xr:uid="{00000000-0005-0000-0000-00009D060000}"/>
    <cellStyle name="Normal 5 4 5 2" xfId="1870" xr:uid="{00000000-0005-0000-0000-00009E060000}"/>
    <cellStyle name="Normal 5 4 6" xfId="1113" xr:uid="{00000000-0005-0000-0000-00009F060000}"/>
    <cellStyle name="Normal 5 4 6 2" xfId="1965" xr:uid="{00000000-0005-0000-0000-0000A0060000}"/>
    <cellStyle name="Normal 5 4 7" xfId="1286" xr:uid="{00000000-0005-0000-0000-0000A1060000}"/>
    <cellStyle name="Normal 5 4 7 2" xfId="2055" xr:uid="{00000000-0005-0000-0000-0000A2060000}"/>
    <cellStyle name="Normal 5 4 8" xfId="1429" xr:uid="{00000000-0005-0000-0000-0000A3060000}"/>
    <cellStyle name="Normal 5 4 8 2" xfId="2157" xr:uid="{00000000-0005-0000-0000-0000A4060000}"/>
    <cellStyle name="Normal 5 4 9" xfId="1485" xr:uid="{00000000-0005-0000-0000-0000A5060000}"/>
    <cellStyle name="Normal 5 4 9 2" xfId="2212" xr:uid="{00000000-0005-0000-0000-0000A6060000}"/>
    <cellStyle name="Normal 5 5" xfId="167" xr:uid="{00000000-0005-0000-0000-0000A7060000}"/>
    <cellStyle name="Normal 5 5 10" xfId="1548" xr:uid="{00000000-0005-0000-0000-0000A8060000}"/>
    <cellStyle name="Normal 5 5 2" xfId="368" xr:uid="{00000000-0005-0000-0000-0000A9060000}"/>
    <cellStyle name="Normal 5 5 2 2" xfId="1604" xr:uid="{00000000-0005-0000-0000-0000AA060000}"/>
    <cellStyle name="Normal 5 5 3" xfId="527" xr:uid="{00000000-0005-0000-0000-0000AB060000}"/>
    <cellStyle name="Normal 5 5 3 2" xfId="1689" xr:uid="{00000000-0005-0000-0000-0000AC060000}"/>
    <cellStyle name="Normal 5 5 4" xfId="760" xr:uid="{00000000-0005-0000-0000-0000AD060000}"/>
    <cellStyle name="Normal 5 5 4 2" xfId="1786" xr:uid="{00000000-0005-0000-0000-0000AE060000}"/>
    <cellStyle name="Normal 5 5 5" xfId="949" xr:uid="{00000000-0005-0000-0000-0000AF060000}"/>
    <cellStyle name="Normal 5 5 5 2" xfId="1875" xr:uid="{00000000-0005-0000-0000-0000B0060000}"/>
    <cellStyle name="Normal 5 5 6" xfId="1132" xr:uid="{00000000-0005-0000-0000-0000B1060000}"/>
    <cellStyle name="Normal 5 5 6 2" xfId="1970" xr:uid="{00000000-0005-0000-0000-0000B2060000}"/>
    <cellStyle name="Normal 5 5 7" xfId="1303" xr:uid="{00000000-0005-0000-0000-0000B3060000}"/>
    <cellStyle name="Normal 5 5 7 2" xfId="2060" xr:uid="{00000000-0005-0000-0000-0000B4060000}"/>
    <cellStyle name="Normal 5 5 8" xfId="1442" xr:uid="{00000000-0005-0000-0000-0000B5060000}"/>
    <cellStyle name="Normal 5 5 8 2" xfId="2170" xr:uid="{00000000-0005-0000-0000-0000B6060000}"/>
    <cellStyle name="Normal 5 5 9" xfId="1490" xr:uid="{00000000-0005-0000-0000-0000B7060000}"/>
    <cellStyle name="Normal 5 5 9 2" xfId="2217" xr:uid="{00000000-0005-0000-0000-0000B8060000}"/>
    <cellStyle name="Normal 5 6" xfId="188" xr:uid="{00000000-0005-0000-0000-0000B9060000}"/>
    <cellStyle name="Normal 5 6 10" xfId="1553" xr:uid="{00000000-0005-0000-0000-0000BA060000}"/>
    <cellStyle name="Normal 5 6 2" xfId="387" xr:uid="{00000000-0005-0000-0000-0000BB060000}"/>
    <cellStyle name="Normal 5 6 2 2" xfId="1609" xr:uid="{00000000-0005-0000-0000-0000BC060000}"/>
    <cellStyle name="Normal 5 6 3" xfId="544" xr:uid="{00000000-0005-0000-0000-0000BD060000}"/>
    <cellStyle name="Normal 5 6 3 2" xfId="1694" xr:uid="{00000000-0005-0000-0000-0000BE060000}"/>
    <cellStyle name="Normal 5 6 4" xfId="780" xr:uid="{00000000-0005-0000-0000-0000BF060000}"/>
    <cellStyle name="Normal 5 6 4 2" xfId="1791" xr:uid="{00000000-0005-0000-0000-0000C0060000}"/>
    <cellStyle name="Normal 5 6 5" xfId="968" xr:uid="{00000000-0005-0000-0000-0000C1060000}"/>
    <cellStyle name="Normal 5 6 5 2" xfId="1880" xr:uid="{00000000-0005-0000-0000-0000C2060000}"/>
    <cellStyle name="Normal 5 6 6" xfId="1151" xr:uid="{00000000-0005-0000-0000-0000C3060000}"/>
    <cellStyle name="Normal 5 6 6 2" xfId="1975" xr:uid="{00000000-0005-0000-0000-0000C4060000}"/>
    <cellStyle name="Normal 5 6 7" xfId="1320" xr:uid="{00000000-0005-0000-0000-0000C5060000}"/>
    <cellStyle name="Normal 5 6 7 2" xfId="2065" xr:uid="{00000000-0005-0000-0000-0000C6060000}"/>
    <cellStyle name="Normal 5 6 8" xfId="1441" xr:uid="{00000000-0005-0000-0000-0000C7060000}"/>
    <cellStyle name="Normal 5 6 8 2" xfId="2169" xr:uid="{00000000-0005-0000-0000-0000C8060000}"/>
    <cellStyle name="Normal 5 6 9" xfId="1495" xr:uid="{00000000-0005-0000-0000-0000C9060000}"/>
    <cellStyle name="Normal 5 6 9 2" xfId="2222" xr:uid="{00000000-0005-0000-0000-0000CA060000}"/>
    <cellStyle name="Normal 5 7" xfId="209" xr:uid="{00000000-0005-0000-0000-0000CB060000}"/>
    <cellStyle name="Normal 5 7 10" xfId="1558" xr:uid="{00000000-0005-0000-0000-0000CC060000}"/>
    <cellStyle name="Normal 5 7 2" xfId="404" xr:uid="{00000000-0005-0000-0000-0000CD060000}"/>
    <cellStyle name="Normal 5 7 2 2" xfId="1614" xr:uid="{00000000-0005-0000-0000-0000CE060000}"/>
    <cellStyle name="Normal 5 7 3" xfId="561" xr:uid="{00000000-0005-0000-0000-0000CF060000}"/>
    <cellStyle name="Normal 5 7 3 2" xfId="1699" xr:uid="{00000000-0005-0000-0000-0000D0060000}"/>
    <cellStyle name="Normal 5 7 4" xfId="800" xr:uid="{00000000-0005-0000-0000-0000D1060000}"/>
    <cellStyle name="Normal 5 7 4 2" xfId="1796" xr:uid="{00000000-0005-0000-0000-0000D2060000}"/>
    <cellStyle name="Normal 5 7 5" xfId="987" xr:uid="{00000000-0005-0000-0000-0000D3060000}"/>
    <cellStyle name="Normal 5 7 5 2" xfId="1885" xr:uid="{00000000-0005-0000-0000-0000D4060000}"/>
    <cellStyle name="Normal 5 7 6" xfId="1171" xr:uid="{00000000-0005-0000-0000-0000D5060000}"/>
    <cellStyle name="Normal 5 7 6 2" xfId="1980" xr:uid="{00000000-0005-0000-0000-0000D6060000}"/>
    <cellStyle name="Normal 5 7 7" xfId="1337" xr:uid="{00000000-0005-0000-0000-0000D7060000}"/>
    <cellStyle name="Normal 5 7 7 2" xfId="2070" xr:uid="{00000000-0005-0000-0000-0000D8060000}"/>
    <cellStyle name="Normal 5 7 8" xfId="1437" xr:uid="{00000000-0005-0000-0000-0000D9060000}"/>
    <cellStyle name="Normal 5 7 8 2" xfId="2165" xr:uid="{00000000-0005-0000-0000-0000DA060000}"/>
    <cellStyle name="Normal 5 7 9" xfId="1500" xr:uid="{00000000-0005-0000-0000-0000DB060000}"/>
    <cellStyle name="Normal 5 7 9 2" xfId="2227" xr:uid="{00000000-0005-0000-0000-0000DC060000}"/>
    <cellStyle name="Normal 5 8" xfId="267" xr:uid="{00000000-0005-0000-0000-0000DD060000}"/>
    <cellStyle name="Normal 5 8 2" xfId="1571" xr:uid="{00000000-0005-0000-0000-0000DE060000}"/>
    <cellStyle name="Normal 5 9" xfId="228" xr:uid="{00000000-0005-0000-0000-0000DF060000}"/>
    <cellStyle name="Normal 5_Handbook" xfId="2236" xr:uid="{00000000-0005-0000-0000-0000E0060000}"/>
    <cellStyle name="Normal 6" xfId="88" xr:uid="{00000000-0005-0000-0000-0000E1060000}"/>
    <cellStyle name="Normal 6 10" xfId="213" xr:uid="{00000000-0005-0000-0000-0000E2060000}"/>
    <cellStyle name="Normal 6 11" xfId="296" xr:uid="{00000000-0005-0000-0000-0000E3060000}"/>
    <cellStyle name="Normal 6 11 2" xfId="1581" xr:uid="{00000000-0005-0000-0000-0000E4060000}"/>
    <cellStyle name="Normal 6 12" xfId="461" xr:uid="{00000000-0005-0000-0000-0000E5060000}"/>
    <cellStyle name="Normal 6 12 2" xfId="1666" xr:uid="{00000000-0005-0000-0000-0000E6060000}"/>
    <cellStyle name="Normal 6 13" xfId="685" xr:uid="{00000000-0005-0000-0000-0000E7060000}"/>
    <cellStyle name="Normal 6 13 2" xfId="1763" xr:uid="{00000000-0005-0000-0000-0000E8060000}"/>
    <cellStyle name="Normal 6 14" xfId="877" xr:uid="{00000000-0005-0000-0000-0000E9060000}"/>
    <cellStyle name="Normal 6 14 2" xfId="1852" xr:uid="{00000000-0005-0000-0000-0000EA060000}"/>
    <cellStyle name="Normal 6 15" xfId="1058" xr:uid="{00000000-0005-0000-0000-0000EB060000}"/>
    <cellStyle name="Normal 6 15 2" xfId="1947" xr:uid="{00000000-0005-0000-0000-0000EC060000}"/>
    <cellStyle name="Normal 6 16" xfId="1237" xr:uid="{00000000-0005-0000-0000-0000ED060000}"/>
    <cellStyle name="Normal 6 16 2" xfId="2037" xr:uid="{00000000-0005-0000-0000-0000EE060000}"/>
    <cellStyle name="Normal 6 17" xfId="1436" xr:uid="{00000000-0005-0000-0000-0000EF060000}"/>
    <cellStyle name="Normal 6 17 2" xfId="2164" xr:uid="{00000000-0005-0000-0000-0000F0060000}"/>
    <cellStyle name="Normal 6 18" xfId="1467" xr:uid="{00000000-0005-0000-0000-0000F1060000}"/>
    <cellStyle name="Normal 6 18 2" xfId="2194" xr:uid="{00000000-0005-0000-0000-0000F2060000}"/>
    <cellStyle name="Normal 6 19" xfId="1525" xr:uid="{00000000-0005-0000-0000-0000F3060000}"/>
    <cellStyle name="Normal 6 2" xfId="100" xr:uid="{00000000-0005-0000-0000-0000F4060000}"/>
    <cellStyle name="Normal 6 2 2" xfId="307" xr:uid="{00000000-0005-0000-0000-0000F5060000}"/>
    <cellStyle name="Normal 6 2 3" xfId="472" xr:uid="{00000000-0005-0000-0000-0000F6060000}"/>
    <cellStyle name="Normal 6 2 4" xfId="696" xr:uid="{00000000-0005-0000-0000-0000F7060000}"/>
    <cellStyle name="Normal 6 2 5" xfId="888" xr:uid="{00000000-0005-0000-0000-0000F8060000}"/>
    <cellStyle name="Normal 6 2 6" xfId="1070" xr:uid="{00000000-0005-0000-0000-0000F9060000}"/>
    <cellStyle name="Normal 6 2 7" xfId="1248" xr:uid="{00000000-0005-0000-0000-0000FA060000}"/>
    <cellStyle name="Normal 6 3" xfId="105" xr:uid="{00000000-0005-0000-0000-0000FB060000}"/>
    <cellStyle name="Normal 6 3 2" xfId="312" xr:uid="{00000000-0005-0000-0000-0000FC060000}"/>
    <cellStyle name="Normal 6 3 3" xfId="477" xr:uid="{00000000-0005-0000-0000-0000FD060000}"/>
    <cellStyle name="Normal 6 3 4" xfId="701" xr:uid="{00000000-0005-0000-0000-0000FE060000}"/>
    <cellStyle name="Normal 6 3 5" xfId="893" xr:uid="{00000000-0005-0000-0000-0000FF060000}"/>
    <cellStyle name="Normal 6 3 6" xfId="1075" xr:uid="{00000000-0005-0000-0000-000000070000}"/>
    <cellStyle name="Normal 6 3 7" xfId="1253" xr:uid="{00000000-0005-0000-0000-000001070000}"/>
    <cellStyle name="Normal 6 4" xfId="101" xr:uid="{00000000-0005-0000-0000-000002070000}"/>
    <cellStyle name="Normal 6 4 2" xfId="308" xr:uid="{00000000-0005-0000-0000-000003070000}"/>
    <cellStyle name="Normal 6 4 3" xfId="473" xr:uid="{00000000-0005-0000-0000-000004070000}"/>
    <cellStyle name="Normal 6 4 4" xfId="697" xr:uid="{00000000-0005-0000-0000-000005070000}"/>
    <cellStyle name="Normal 6 4 5" xfId="889" xr:uid="{00000000-0005-0000-0000-000006070000}"/>
    <cellStyle name="Normal 6 4 6" xfId="1071" xr:uid="{00000000-0005-0000-0000-000007070000}"/>
    <cellStyle name="Normal 6 4 7" xfId="1249" xr:uid="{00000000-0005-0000-0000-000008070000}"/>
    <cellStyle name="Normal 6 5" xfId="104" xr:uid="{00000000-0005-0000-0000-000009070000}"/>
    <cellStyle name="Normal 6 5 2" xfId="311" xr:uid="{00000000-0005-0000-0000-00000A070000}"/>
    <cellStyle name="Normal 6 5 3" xfId="476" xr:uid="{00000000-0005-0000-0000-00000B070000}"/>
    <cellStyle name="Normal 6 5 4" xfId="700" xr:uid="{00000000-0005-0000-0000-00000C070000}"/>
    <cellStyle name="Normal 6 5 5" xfId="892" xr:uid="{00000000-0005-0000-0000-00000D070000}"/>
    <cellStyle name="Normal 6 5 6" xfId="1074" xr:uid="{00000000-0005-0000-0000-00000E070000}"/>
    <cellStyle name="Normal 6 5 7" xfId="1252" xr:uid="{00000000-0005-0000-0000-00000F070000}"/>
    <cellStyle name="Normal 6 6" xfId="102" xr:uid="{00000000-0005-0000-0000-000010070000}"/>
    <cellStyle name="Normal 6 6 2" xfId="309" xr:uid="{00000000-0005-0000-0000-000011070000}"/>
    <cellStyle name="Normal 6 6 3" xfId="474" xr:uid="{00000000-0005-0000-0000-000012070000}"/>
    <cellStyle name="Normal 6 6 4" xfId="698" xr:uid="{00000000-0005-0000-0000-000013070000}"/>
    <cellStyle name="Normal 6 6 5" xfId="890" xr:uid="{00000000-0005-0000-0000-000014070000}"/>
    <cellStyle name="Normal 6 6 6" xfId="1072" xr:uid="{00000000-0005-0000-0000-000015070000}"/>
    <cellStyle name="Normal 6 6 7" xfId="1250" xr:uid="{00000000-0005-0000-0000-000016070000}"/>
    <cellStyle name="Normal 6 7" xfId="211" xr:uid="{00000000-0005-0000-0000-000017070000}"/>
    <cellStyle name="Normal 6 8" xfId="214" xr:uid="{00000000-0005-0000-0000-000018070000}"/>
    <cellStyle name="Normal 6 9" xfId="212" xr:uid="{00000000-0005-0000-0000-000019070000}"/>
    <cellStyle name="Normal 7" xfId="94" xr:uid="{00000000-0005-0000-0000-00001A070000}"/>
    <cellStyle name="Normal 7 10" xfId="1528" xr:uid="{00000000-0005-0000-0000-00001B070000}"/>
    <cellStyle name="Normal 7 2" xfId="301" xr:uid="{00000000-0005-0000-0000-00001C070000}"/>
    <cellStyle name="Normal 7 2 2" xfId="1584" xr:uid="{00000000-0005-0000-0000-00001D070000}"/>
    <cellStyle name="Normal 7 3" xfId="466" xr:uid="{00000000-0005-0000-0000-00001E070000}"/>
    <cellStyle name="Normal 7 3 2" xfId="1669" xr:uid="{00000000-0005-0000-0000-00001F070000}"/>
    <cellStyle name="Normal 7 4" xfId="690" xr:uid="{00000000-0005-0000-0000-000020070000}"/>
    <cellStyle name="Normal 7 4 2" xfId="1766" xr:uid="{00000000-0005-0000-0000-000021070000}"/>
    <cellStyle name="Normal 7 5" xfId="882" xr:uid="{00000000-0005-0000-0000-000022070000}"/>
    <cellStyle name="Normal 7 5 2" xfId="1855" xr:uid="{00000000-0005-0000-0000-000023070000}"/>
    <cellStyle name="Normal 7 6" xfId="1064" xr:uid="{00000000-0005-0000-0000-000024070000}"/>
    <cellStyle name="Normal 7 6 2" xfId="1950" xr:uid="{00000000-0005-0000-0000-000025070000}"/>
    <cellStyle name="Normal 7 7" xfId="1242" xr:uid="{00000000-0005-0000-0000-000026070000}"/>
    <cellStyle name="Normal 7 7 2" xfId="2040" xr:uid="{00000000-0005-0000-0000-000027070000}"/>
    <cellStyle name="Normal 7 8" xfId="1449" xr:uid="{00000000-0005-0000-0000-000028070000}"/>
    <cellStyle name="Normal 7 8 2" xfId="2177" xr:uid="{00000000-0005-0000-0000-000029070000}"/>
    <cellStyle name="Normal 7 9" xfId="1470" xr:uid="{00000000-0005-0000-0000-00002A070000}"/>
    <cellStyle name="Normal 7 9 2" xfId="2197" xr:uid="{00000000-0005-0000-0000-00002B070000}"/>
    <cellStyle name="Normal 8" xfId="97" xr:uid="{00000000-0005-0000-0000-00002C070000}"/>
    <cellStyle name="Normal 8 10" xfId="1531" xr:uid="{00000000-0005-0000-0000-00002D070000}"/>
    <cellStyle name="Normal 8 2" xfId="304" xr:uid="{00000000-0005-0000-0000-00002E070000}"/>
    <cellStyle name="Normal 8 2 2" xfId="1587" xr:uid="{00000000-0005-0000-0000-00002F070000}"/>
    <cellStyle name="Normal 8 3" xfId="469" xr:uid="{00000000-0005-0000-0000-000030070000}"/>
    <cellStyle name="Normal 8 3 2" xfId="1672" xr:uid="{00000000-0005-0000-0000-000031070000}"/>
    <cellStyle name="Normal 8 4" xfId="693" xr:uid="{00000000-0005-0000-0000-000032070000}"/>
    <cellStyle name="Normal 8 4 2" xfId="1769" xr:uid="{00000000-0005-0000-0000-000033070000}"/>
    <cellStyle name="Normal 8 5" xfId="885" xr:uid="{00000000-0005-0000-0000-000034070000}"/>
    <cellStyle name="Normal 8 5 2" xfId="1858" xr:uid="{00000000-0005-0000-0000-000035070000}"/>
    <cellStyle name="Normal 8 6" xfId="1067" xr:uid="{00000000-0005-0000-0000-000036070000}"/>
    <cellStyle name="Normal 8 6 2" xfId="1953" xr:uid="{00000000-0005-0000-0000-000037070000}"/>
    <cellStyle name="Normal 8 7" xfId="1245" xr:uid="{00000000-0005-0000-0000-000038070000}"/>
    <cellStyle name="Normal 8 7 2" xfId="2043" xr:uid="{00000000-0005-0000-0000-000039070000}"/>
    <cellStyle name="Normal 8 8" xfId="1420" xr:uid="{00000000-0005-0000-0000-00003A070000}"/>
    <cellStyle name="Normal 8 8 2" xfId="2149" xr:uid="{00000000-0005-0000-0000-00003B070000}"/>
    <cellStyle name="Normal 8 9" xfId="1473" xr:uid="{00000000-0005-0000-0000-00003C070000}"/>
    <cellStyle name="Normal 8 9 2" xfId="2200" xr:uid="{00000000-0005-0000-0000-00003D070000}"/>
    <cellStyle name="Normal 9" xfId="98" xr:uid="{00000000-0005-0000-0000-00003E070000}"/>
    <cellStyle name="Normal 9 10" xfId="1532" xr:uid="{00000000-0005-0000-0000-00003F070000}"/>
    <cellStyle name="Normal 9 2" xfId="305" xr:uid="{00000000-0005-0000-0000-000040070000}"/>
    <cellStyle name="Normal 9 2 2" xfId="1588" xr:uid="{00000000-0005-0000-0000-000041070000}"/>
    <cellStyle name="Normal 9 3" xfId="470" xr:uid="{00000000-0005-0000-0000-000042070000}"/>
    <cellStyle name="Normal 9 3 2" xfId="1673" xr:uid="{00000000-0005-0000-0000-000043070000}"/>
    <cellStyle name="Normal 9 4" xfId="694" xr:uid="{00000000-0005-0000-0000-000044070000}"/>
    <cellStyle name="Normal 9 4 2" xfId="1770" xr:uid="{00000000-0005-0000-0000-000045070000}"/>
    <cellStyle name="Normal 9 5" xfId="886" xr:uid="{00000000-0005-0000-0000-000046070000}"/>
    <cellStyle name="Normal 9 5 2" xfId="1859" xr:uid="{00000000-0005-0000-0000-000047070000}"/>
    <cellStyle name="Normal 9 6" xfId="1068" xr:uid="{00000000-0005-0000-0000-000048070000}"/>
    <cellStyle name="Normal 9 6 2" xfId="1954" xr:uid="{00000000-0005-0000-0000-000049070000}"/>
    <cellStyle name="Normal 9 7" xfId="1246" xr:uid="{00000000-0005-0000-0000-00004A070000}"/>
    <cellStyle name="Normal 9 7 2" xfId="2044" xr:uid="{00000000-0005-0000-0000-00004B070000}"/>
    <cellStyle name="Normal 9 8" xfId="1413" xr:uid="{00000000-0005-0000-0000-00004C070000}"/>
    <cellStyle name="Normal 9 8 2" xfId="2142" xr:uid="{00000000-0005-0000-0000-00004D070000}"/>
    <cellStyle name="Normal 9 9" xfId="1474" xr:uid="{00000000-0005-0000-0000-00004E070000}"/>
    <cellStyle name="Normal 9 9 2" xfId="2201" xr:uid="{00000000-0005-0000-0000-00004F070000}"/>
    <cellStyle name="Note 2" xfId="82" xr:uid="{00000000-0005-0000-0000-000050070000}"/>
    <cellStyle name="Note 2 10" xfId="293" xr:uid="{00000000-0005-0000-0000-000051070000}"/>
    <cellStyle name="Note 2 10 2" xfId="1578" xr:uid="{00000000-0005-0000-0000-000052070000}"/>
    <cellStyle name="Note 2 11" xfId="681" xr:uid="{00000000-0005-0000-0000-000053070000}"/>
    <cellStyle name="Note 2 11 2" xfId="1759" xr:uid="{00000000-0005-0000-0000-000054070000}"/>
    <cellStyle name="Note 2 12" xfId="873" xr:uid="{00000000-0005-0000-0000-000055070000}"/>
    <cellStyle name="Note 2 12 2" xfId="1849" xr:uid="{00000000-0005-0000-0000-000056070000}"/>
    <cellStyle name="Note 2 13" xfId="1054" xr:uid="{00000000-0005-0000-0000-000057070000}"/>
    <cellStyle name="Note 2 13 2" xfId="1944" xr:uid="{00000000-0005-0000-0000-000058070000}"/>
    <cellStyle name="Note 2 14" xfId="1234" xr:uid="{00000000-0005-0000-0000-000059070000}"/>
    <cellStyle name="Note 2 14 2" xfId="2034" xr:uid="{00000000-0005-0000-0000-00005A070000}"/>
    <cellStyle name="Note 2 15" xfId="1412" xr:uid="{00000000-0005-0000-0000-00005B070000}"/>
    <cellStyle name="Note 2 15 2" xfId="2141" xr:uid="{00000000-0005-0000-0000-00005C070000}"/>
    <cellStyle name="Note 2 16" xfId="1465" xr:uid="{00000000-0005-0000-0000-00005D070000}"/>
    <cellStyle name="Note 2 16 2" xfId="2192" xr:uid="{00000000-0005-0000-0000-00005E070000}"/>
    <cellStyle name="Note 2 17" xfId="1522" xr:uid="{00000000-0005-0000-0000-00005F070000}"/>
    <cellStyle name="Note 2 2" xfId="420" xr:uid="{00000000-0005-0000-0000-000060070000}"/>
    <cellStyle name="Note 2 2 2" xfId="576" xr:uid="{00000000-0005-0000-0000-000061070000}"/>
    <cellStyle name="Note 2 2 2 2" xfId="1710" xr:uid="{00000000-0005-0000-0000-000062070000}"/>
    <cellStyle name="Note 2 2 3" xfId="821" xr:uid="{00000000-0005-0000-0000-000063070000}"/>
    <cellStyle name="Note 2 2 3 2" xfId="1807" xr:uid="{00000000-0005-0000-0000-000064070000}"/>
    <cellStyle name="Note 2 2 4" xfId="1007" xr:uid="{00000000-0005-0000-0000-000065070000}"/>
    <cellStyle name="Note 2 2 4 2" xfId="1897" xr:uid="{00000000-0005-0000-0000-000066070000}"/>
    <cellStyle name="Note 2 2 5" xfId="1191" xr:uid="{00000000-0005-0000-0000-000067070000}"/>
    <cellStyle name="Note 2 2 5 2" xfId="1992" xr:uid="{00000000-0005-0000-0000-000068070000}"/>
    <cellStyle name="Note 2 2 6" xfId="1353" xr:uid="{00000000-0005-0000-0000-000069070000}"/>
    <cellStyle name="Note 2 2 6 2" xfId="2082" xr:uid="{00000000-0005-0000-0000-00006A070000}"/>
    <cellStyle name="Note 2 2 7" xfId="1626" xr:uid="{00000000-0005-0000-0000-00006B070000}"/>
    <cellStyle name="Note 2 3" xfId="435" xr:uid="{00000000-0005-0000-0000-00006C070000}"/>
    <cellStyle name="Note 2 3 2" xfId="588" xr:uid="{00000000-0005-0000-0000-00006D070000}"/>
    <cellStyle name="Note 2 3 2 2" xfId="1722" xr:uid="{00000000-0005-0000-0000-00006E070000}"/>
    <cellStyle name="Note 2 3 3" xfId="835" xr:uid="{00000000-0005-0000-0000-00006F070000}"/>
    <cellStyle name="Note 2 3 3 2" xfId="1820" xr:uid="{00000000-0005-0000-0000-000070070000}"/>
    <cellStyle name="Note 2 3 4" xfId="1022" xr:uid="{00000000-0005-0000-0000-000071070000}"/>
    <cellStyle name="Note 2 3 4 2" xfId="1912" xr:uid="{00000000-0005-0000-0000-000072070000}"/>
    <cellStyle name="Note 2 3 5" xfId="1206" xr:uid="{00000000-0005-0000-0000-000073070000}"/>
    <cellStyle name="Note 2 3 5 2" xfId="2006" xr:uid="{00000000-0005-0000-0000-000074070000}"/>
    <cellStyle name="Note 2 3 6" xfId="1368" xr:uid="{00000000-0005-0000-0000-000075070000}"/>
    <cellStyle name="Note 2 3 6 2" xfId="2097" xr:uid="{00000000-0005-0000-0000-000076070000}"/>
    <cellStyle name="Note 2 3 7" xfId="1640" xr:uid="{00000000-0005-0000-0000-000077070000}"/>
    <cellStyle name="Note 2 4" xfId="454" xr:uid="{00000000-0005-0000-0000-000078070000}"/>
    <cellStyle name="Note 2 4 2" xfId="607" xr:uid="{00000000-0005-0000-0000-000079070000}"/>
    <cellStyle name="Note 2 4 2 2" xfId="1741" xr:uid="{00000000-0005-0000-0000-00007A070000}"/>
    <cellStyle name="Note 2 4 3" xfId="854" xr:uid="{00000000-0005-0000-0000-00007B070000}"/>
    <cellStyle name="Note 2 4 3 2" xfId="1839" xr:uid="{00000000-0005-0000-0000-00007C070000}"/>
    <cellStyle name="Note 2 4 4" xfId="1041" xr:uid="{00000000-0005-0000-0000-00007D070000}"/>
    <cellStyle name="Note 2 4 4 2" xfId="1931" xr:uid="{00000000-0005-0000-0000-00007E070000}"/>
    <cellStyle name="Note 2 4 5" xfId="1225" xr:uid="{00000000-0005-0000-0000-00007F070000}"/>
    <cellStyle name="Note 2 4 5 2" xfId="2025" xr:uid="{00000000-0005-0000-0000-000080070000}"/>
    <cellStyle name="Note 2 4 6" xfId="1387" xr:uid="{00000000-0005-0000-0000-000081070000}"/>
    <cellStyle name="Note 2 4 6 2" xfId="2116" xr:uid="{00000000-0005-0000-0000-000082070000}"/>
    <cellStyle name="Note 2 4 7" xfId="1659" xr:uid="{00000000-0005-0000-0000-000083070000}"/>
    <cellStyle name="Note 2 5" xfId="453" xr:uid="{00000000-0005-0000-0000-000084070000}"/>
    <cellStyle name="Note 2 5 2" xfId="606" xr:uid="{00000000-0005-0000-0000-000085070000}"/>
    <cellStyle name="Note 2 5 2 2" xfId="1740" xr:uid="{00000000-0005-0000-0000-000086070000}"/>
    <cellStyle name="Note 2 5 3" xfId="853" xr:uid="{00000000-0005-0000-0000-000087070000}"/>
    <cellStyle name="Note 2 5 3 2" xfId="1838" xr:uid="{00000000-0005-0000-0000-000088070000}"/>
    <cellStyle name="Note 2 5 4" xfId="1040" xr:uid="{00000000-0005-0000-0000-000089070000}"/>
    <cellStyle name="Note 2 5 4 2" xfId="1930" xr:uid="{00000000-0005-0000-0000-00008A070000}"/>
    <cellStyle name="Note 2 5 5" xfId="1224" xr:uid="{00000000-0005-0000-0000-00008B070000}"/>
    <cellStyle name="Note 2 5 5 2" xfId="2024" xr:uid="{00000000-0005-0000-0000-00008C070000}"/>
    <cellStyle name="Note 2 5 6" xfId="1386" xr:uid="{00000000-0005-0000-0000-00008D070000}"/>
    <cellStyle name="Note 2 5 6 2" xfId="2115" xr:uid="{00000000-0005-0000-0000-00008E070000}"/>
    <cellStyle name="Note 2 5 7" xfId="1658" xr:uid="{00000000-0005-0000-0000-00008F070000}"/>
    <cellStyle name="Note 2 6" xfId="423" xr:uid="{00000000-0005-0000-0000-000090070000}"/>
    <cellStyle name="Note 2 6 2" xfId="579" xr:uid="{00000000-0005-0000-0000-000091070000}"/>
    <cellStyle name="Note 2 6 2 2" xfId="1713" xr:uid="{00000000-0005-0000-0000-000092070000}"/>
    <cellStyle name="Note 2 6 3" xfId="824" xr:uid="{00000000-0005-0000-0000-000093070000}"/>
    <cellStyle name="Note 2 6 3 2" xfId="1810" xr:uid="{00000000-0005-0000-0000-000094070000}"/>
    <cellStyle name="Note 2 6 4" xfId="1010" xr:uid="{00000000-0005-0000-0000-000095070000}"/>
    <cellStyle name="Note 2 6 4 2" xfId="1900" xr:uid="{00000000-0005-0000-0000-000096070000}"/>
    <cellStyle name="Note 2 6 5" xfId="1194" xr:uid="{00000000-0005-0000-0000-000097070000}"/>
    <cellStyle name="Note 2 6 5 2" xfId="1995" xr:uid="{00000000-0005-0000-0000-000098070000}"/>
    <cellStyle name="Note 2 6 6" xfId="1356" xr:uid="{00000000-0005-0000-0000-000099070000}"/>
    <cellStyle name="Note 2 6 6 2" xfId="2085" xr:uid="{00000000-0005-0000-0000-00009A070000}"/>
    <cellStyle name="Note 2 6 7" xfId="1629" xr:uid="{00000000-0005-0000-0000-00009B070000}"/>
    <cellStyle name="Note 2 7" xfId="441" xr:uid="{00000000-0005-0000-0000-00009C070000}"/>
    <cellStyle name="Note 2 7 2" xfId="594" xr:uid="{00000000-0005-0000-0000-00009D070000}"/>
    <cellStyle name="Note 2 7 2 2" xfId="1728" xr:uid="{00000000-0005-0000-0000-00009E070000}"/>
    <cellStyle name="Note 2 7 3" xfId="841" xr:uid="{00000000-0005-0000-0000-00009F070000}"/>
    <cellStyle name="Note 2 7 3 2" xfId="1826" xr:uid="{00000000-0005-0000-0000-0000A0070000}"/>
    <cellStyle name="Note 2 7 4" xfId="1028" xr:uid="{00000000-0005-0000-0000-0000A1070000}"/>
    <cellStyle name="Note 2 7 4 2" xfId="1918" xr:uid="{00000000-0005-0000-0000-0000A2070000}"/>
    <cellStyle name="Note 2 7 5" xfId="1212" xr:uid="{00000000-0005-0000-0000-0000A3070000}"/>
    <cellStyle name="Note 2 7 5 2" xfId="2012" xr:uid="{00000000-0005-0000-0000-0000A4070000}"/>
    <cellStyle name="Note 2 7 6" xfId="1374" xr:uid="{00000000-0005-0000-0000-0000A5070000}"/>
    <cellStyle name="Note 2 7 6 2" xfId="2103" xr:uid="{00000000-0005-0000-0000-0000A6070000}"/>
    <cellStyle name="Note 2 7 7" xfId="1646" xr:uid="{00000000-0005-0000-0000-0000A7070000}"/>
    <cellStyle name="Note 2 8" xfId="447" xr:uid="{00000000-0005-0000-0000-0000A8070000}"/>
    <cellStyle name="Note 2 8 2" xfId="600" xr:uid="{00000000-0005-0000-0000-0000A9070000}"/>
    <cellStyle name="Note 2 8 2 2" xfId="1734" xr:uid="{00000000-0005-0000-0000-0000AA070000}"/>
    <cellStyle name="Note 2 8 3" xfId="847" xr:uid="{00000000-0005-0000-0000-0000AB070000}"/>
    <cellStyle name="Note 2 8 3 2" xfId="1832" xr:uid="{00000000-0005-0000-0000-0000AC070000}"/>
    <cellStyle name="Note 2 8 4" xfId="1034" xr:uid="{00000000-0005-0000-0000-0000AD070000}"/>
    <cellStyle name="Note 2 8 4 2" xfId="1924" xr:uid="{00000000-0005-0000-0000-0000AE070000}"/>
    <cellStyle name="Note 2 8 5" xfId="1218" xr:uid="{00000000-0005-0000-0000-0000AF070000}"/>
    <cellStyle name="Note 2 8 5 2" xfId="2018" xr:uid="{00000000-0005-0000-0000-0000B0070000}"/>
    <cellStyle name="Note 2 8 6" xfId="1380" xr:uid="{00000000-0005-0000-0000-0000B1070000}"/>
    <cellStyle name="Note 2 8 6 2" xfId="2109" xr:uid="{00000000-0005-0000-0000-0000B2070000}"/>
    <cellStyle name="Note 2 8 7" xfId="1652" xr:uid="{00000000-0005-0000-0000-0000B3070000}"/>
    <cellStyle name="Note 2 9" xfId="445" xr:uid="{00000000-0005-0000-0000-0000B4070000}"/>
    <cellStyle name="Note 2 9 2" xfId="598" xr:uid="{00000000-0005-0000-0000-0000B5070000}"/>
    <cellStyle name="Note 2 9 2 2" xfId="1732" xr:uid="{00000000-0005-0000-0000-0000B6070000}"/>
    <cellStyle name="Note 2 9 3" xfId="845" xr:uid="{00000000-0005-0000-0000-0000B7070000}"/>
    <cellStyle name="Note 2 9 3 2" xfId="1830" xr:uid="{00000000-0005-0000-0000-0000B8070000}"/>
    <cellStyle name="Note 2 9 4" xfId="1032" xr:uid="{00000000-0005-0000-0000-0000B9070000}"/>
    <cellStyle name="Note 2 9 4 2" xfId="1922" xr:uid="{00000000-0005-0000-0000-0000BA070000}"/>
    <cellStyle name="Note 2 9 5" xfId="1216" xr:uid="{00000000-0005-0000-0000-0000BB070000}"/>
    <cellStyle name="Note 2 9 5 2" xfId="2016" xr:uid="{00000000-0005-0000-0000-0000BC070000}"/>
    <cellStyle name="Note 2 9 6" xfId="1378" xr:uid="{00000000-0005-0000-0000-0000BD070000}"/>
    <cellStyle name="Note 2 9 6 2" xfId="2107" xr:uid="{00000000-0005-0000-0000-0000BE070000}"/>
    <cellStyle name="Note 2 9 7" xfId="1650" xr:uid="{00000000-0005-0000-0000-0000BF070000}"/>
    <cellStyle name="Output 2" xfId="83" xr:uid="{00000000-0005-0000-0000-0000C0070000}"/>
    <cellStyle name="Output 2 10" xfId="294" xr:uid="{00000000-0005-0000-0000-0000C1070000}"/>
    <cellStyle name="Output 2 10 2" xfId="1579" xr:uid="{00000000-0005-0000-0000-0000C2070000}"/>
    <cellStyle name="Output 2 11" xfId="682" xr:uid="{00000000-0005-0000-0000-0000C3070000}"/>
    <cellStyle name="Output 2 11 2" xfId="1760" xr:uid="{00000000-0005-0000-0000-0000C4070000}"/>
    <cellStyle name="Output 2 12" xfId="874" xr:uid="{00000000-0005-0000-0000-0000C5070000}"/>
    <cellStyle name="Output 2 12 2" xfId="1850" xr:uid="{00000000-0005-0000-0000-0000C6070000}"/>
    <cellStyle name="Output 2 13" xfId="1055" xr:uid="{00000000-0005-0000-0000-0000C7070000}"/>
    <cellStyle name="Output 2 13 2" xfId="1945" xr:uid="{00000000-0005-0000-0000-0000C8070000}"/>
    <cellStyle name="Output 2 14" xfId="1235" xr:uid="{00000000-0005-0000-0000-0000C9070000}"/>
    <cellStyle name="Output 2 14 2" xfId="2035" xr:uid="{00000000-0005-0000-0000-0000CA070000}"/>
    <cellStyle name="Output 2 15" xfId="1406" xr:uid="{00000000-0005-0000-0000-0000CB070000}"/>
    <cellStyle name="Output 2 15 2" xfId="2135" xr:uid="{00000000-0005-0000-0000-0000CC070000}"/>
    <cellStyle name="Output 2 16" xfId="1523" xr:uid="{00000000-0005-0000-0000-0000CD070000}"/>
    <cellStyle name="Output 2 2" xfId="421" xr:uid="{00000000-0005-0000-0000-0000CE070000}"/>
    <cellStyle name="Output 2 2 2" xfId="577" xr:uid="{00000000-0005-0000-0000-0000CF070000}"/>
    <cellStyle name="Output 2 2 2 2" xfId="1711" xr:uid="{00000000-0005-0000-0000-0000D0070000}"/>
    <cellStyle name="Output 2 2 3" xfId="822" xr:uid="{00000000-0005-0000-0000-0000D1070000}"/>
    <cellStyle name="Output 2 2 3 2" xfId="1808" xr:uid="{00000000-0005-0000-0000-0000D2070000}"/>
    <cellStyle name="Output 2 2 4" xfId="1008" xr:uid="{00000000-0005-0000-0000-0000D3070000}"/>
    <cellStyle name="Output 2 2 4 2" xfId="1898" xr:uid="{00000000-0005-0000-0000-0000D4070000}"/>
    <cellStyle name="Output 2 2 5" xfId="1192" xr:uid="{00000000-0005-0000-0000-0000D5070000}"/>
    <cellStyle name="Output 2 2 5 2" xfId="1993" xr:uid="{00000000-0005-0000-0000-0000D6070000}"/>
    <cellStyle name="Output 2 2 6" xfId="1354" xr:uid="{00000000-0005-0000-0000-0000D7070000}"/>
    <cellStyle name="Output 2 2 6 2" xfId="2083" xr:uid="{00000000-0005-0000-0000-0000D8070000}"/>
    <cellStyle name="Output 2 2 7" xfId="1627" xr:uid="{00000000-0005-0000-0000-0000D9070000}"/>
    <cellStyle name="Output 2 3" xfId="436" xr:uid="{00000000-0005-0000-0000-0000DA070000}"/>
    <cellStyle name="Output 2 3 2" xfId="589" xr:uid="{00000000-0005-0000-0000-0000DB070000}"/>
    <cellStyle name="Output 2 3 2 2" xfId="1723" xr:uid="{00000000-0005-0000-0000-0000DC070000}"/>
    <cellStyle name="Output 2 3 3" xfId="836" xr:uid="{00000000-0005-0000-0000-0000DD070000}"/>
    <cellStyle name="Output 2 3 3 2" xfId="1821" xr:uid="{00000000-0005-0000-0000-0000DE070000}"/>
    <cellStyle name="Output 2 3 4" xfId="1023" xr:uid="{00000000-0005-0000-0000-0000DF070000}"/>
    <cellStyle name="Output 2 3 4 2" xfId="1913" xr:uid="{00000000-0005-0000-0000-0000E0070000}"/>
    <cellStyle name="Output 2 3 5" xfId="1207" xr:uid="{00000000-0005-0000-0000-0000E1070000}"/>
    <cellStyle name="Output 2 3 5 2" xfId="2007" xr:uid="{00000000-0005-0000-0000-0000E2070000}"/>
    <cellStyle name="Output 2 3 6" xfId="1369" xr:uid="{00000000-0005-0000-0000-0000E3070000}"/>
    <cellStyle name="Output 2 3 6 2" xfId="2098" xr:uid="{00000000-0005-0000-0000-0000E4070000}"/>
    <cellStyle name="Output 2 3 7" xfId="1641" xr:uid="{00000000-0005-0000-0000-0000E5070000}"/>
    <cellStyle name="Output 2 4" xfId="451" xr:uid="{00000000-0005-0000-0000-0000E6070000}"/>
    <cellStyle name="Output 2 4 2" xfId="604" xr:uid="{00000000-0005-0000-0000-0000E7070000}"/>
    <cellStyle name="Output 2 4 2 2" xfId="1738" xr:uid="{00000000-0005-0000-0000-0000E8070000}"/>
    <cellStyle name="Output 2 4 3" xfId="851" xr:uid="{00000000-0005-0000-0000-0000E9070000}"/>
    <cellStyle name="Output 2 4 3 2" xfId="1836" xr:uid="{00000000-0005-0000-0000-0000EA070000}"/>
    <cellStyle name="Output 2 4 4" xfId="1038" xr:uid="{00000000-0005-0000-0000-0000EB070000}"/>
    <cellStyle name="Output 2 4 4 2" xfId="1928" xr:uid="{00000000-0005-0000-0000-0000EC070000}"/>
    <cellStyle name="Output 2 4 5" xfId="1222" xr:uid="{00000000-0005-0000-0000-0000ED070000}"/>
    <cellStyle name="Output 2 4 5 2" xfId="2022" xr:uid="{00000000-0005-0000-0000-0000EE070000}"/>
    <cellStyle name="Output 2 4 6" xfId="1384" xr:uid="{00000000-0005-0000-0000-0000EF070000}"/>
    <cellStyle name="Output 2 4 6 2" xfId="2113" xr:uid="{00000000-0005-0000-0000-0000F0070000}"/>
    <cellStyle name="Output 2 4 7" xfId="1656" xr:uid="{00000000-0005-0000-0000-0000F1070000}"/>
    <cellStyle name="Output 2 5" xfId="449" xr:uid="{00000000-0005-0000-0000-0000F2070000}"/>
    <cellStyle name="Output 2 5 2" xfId="602" xr:uid="{00000000-0005-0000-0000-0000F3070000}"/>
    <cellStyle name="Output 2 5 2 2" xfId="1736" xr:uid="{00000000-0005-0000-0000-0000F4070000}"/>
    <cellStyle name="Output 2 5 3" xfId="849" xr:uid="{00000000-0005-0000-0000-0000F5070000}"/>
    <cellStyle name="Output 2 5 3 2" xfId="1834" xr:uid="{00000000-0005-0000-0000-0000F6070000}"/>
    <cellStyle name="Output 2 5 4" xfId="1036" xr:uid="{00000000-0005-0000-0000-0000F7070000}"/>
    <cellStyle name="Output 2 5 4 2" xfId="1926" xr:uid="{00000000-0005-0000-0000-0000F8070000}"/>
    <cellStyle name="Output 2 5 5" xfId="1220" xr:uid="{00000000-0005-0000-0000-0000F9070000}"/>
    <cellStyle name="Output 2 5 5 2" xfId="2020" xr:uid="{00000000-0005-0000-0000-0000FA070000}"/>
    <cellStyle name="Output 2 5 6" xfId="1382" xr:uid="{00000000-0005-0000-0000-0000FB070000}"/>
    <cellStyle name="Output 2 5 6 2" xfId="2111" xr:uid="{00000000-0005-0000-0000-0000FC070000}"/>
    <cellStyle name="Output 2 5 7" xfId="1654" xr:uid="{00000000-0005-0000-0000-0000FD070000}"/>
    <cellStyle name="Output 2 6" xfId="426" xr:uid="{00000000-0005-0000-0000-0000FE070000}"/>
    <cellStyle name="Output 2 6 2" xfId="581" xr:uid="{00000000-0005-0000-0000-0000FF070000}"/>
    <cellStyle name="Output 2 6 2 2" xfId="1715" xr:uid="{00000000-0005-0000-0000-000000080000}"/>
    <cellStyle name="Output 2 6 3" xfId="827" xr:uid="{00000000-0005-0000-0000-000001080000}"/>
    <cellStyle name="Output 2 6 3 2" xfId="1813" xr:uid="{00000000-0005-0000-0000-000002080000}"/>
    <cellStyle name="Output 2 6 4" xfId="1013" xr:uid="{00000000-0005-0000-0000-000003080000}"/>
    <cellStyle name="Output 2 6 4 2" xfId="1903" xr:uid="{00000000-0005-0000-0000-000004080000}"/>
    <cellStyle name="Output 2 6 5" xfId="1197" xr:uid="{00000000-0005-0000-0000-000005080000}"/>
    <cellStyle name="Output 2 6 5 2" xfId="1997" xr:uid="{00000000-0005-0000-0000-000006080000}"/>
    <cellStyle name="Output 2 6 6" xfId="1359" xr:uid="{00000000-0005-0000-0000-000007080000}"/>
    <cellStyle name="Output 2 6 6 2" xfId="2088" xr:uid="{00000000-0005-0000-0000-000008080000}"/>
    <cellStyle name="Output 2 6 7" xfId="1631" xr:uid="{00000000-0005-0000-0000-000009080000}"/>
    <cellStyle name="Output 2 7" xfId="439" xr:uid="{00000000-0005-0000-0000-00000A080000}"/>
    <cellStyle name="Output 2 7 2" xfId="592" xr:uid="{00000000-0005-0000-0000-00000B080000}"/>
    <cellStyle name="Output 2 7 2 2" xfId="1726" xr:uid="{00000000-0005-0000-0000-00000C080000}"/>
    <cellStyle name="Output 2 7 3" xfId="839" xr:uid="{00000000-0005-0000-0000-00000D080000}"/>
    <cellStyle name="Output 2 7 3 2" xfId="1824" xr:uid="{00000000-0005-0000-0000-00000E080000}"/>
    <cellStyle name="Output 2 7 4" xfId="1026" xr:uid="{00000000-0005-0000-0000-00000F080000}"/>
    <cellStyle name="Output 2 7 4 2" xfId="1916" xr:uid="{00000000-0005-0000-0000-000010080000}"/>
    <cellStyle name="Output 2 7 5" xfId="1210" xr:uid="{00000000-0005-0000-0000-000011080000}"/>
    <cellStyle name="Output 2 7 5 2" xfId="2010" xr:uid="{00000000-0005-0000-0000-000012080000}"/>
    <cellStyle name="Output 2 7 6" xfId="1372" xr:uid="{00000000-0005-0000-0000-000013080000}"/>
    <cellStyle name="Output 2 7 6 2" xfId="2101" xr:uid="{00000000-0005-0000-0000-000014080000}"/>
    <cellStyle name="Output 2 7 7" xfId="1644" xr:uid="{00000000-0005-0000-0000-000015080000}"/>
    <cellStyle name="Output 2 8" xfId="438" xr:uid="{00000000-0005-0000-0000-000016080000}"/>
    <cellStyle name="Output 2 8 2" xfId="591" xr:uid="{00000000-0005-0000-0000-000017080000}"/>
    <cellStyle name="Output 2 8 2 2" xfId="1725" xr:uid="{00000000-0005-0000-0000-000018080000}"/>
    <cellStyle name="Output 2 8 3" xfId="838" xr:uid="{00000000-0005-0000-0000-000019080000}"/>
    <cellStyle name="Output 2 8 3 2" xfId="1823" xr:uid="{00000000-0005-0000-0000-00001A080000}"/>
    <cellStyle name="Output 2 8 4" xfId="1025" xr:uid="{00000000-0005-0000-0000-00001B080000}"/>
    <cellStyle name="Output 2 8 4 2" xfId="1915" xr:uid="{00000000-0005-0000-0000-00001C080000}"/>
    <cellStyle name="Output 2 8 5" xfId="1209" xr:uid="{00000000-0005-0000-0000-00001D080000}"/>
    <cellStyle name="Output 2 8 5 2" xfId="2009" xr:uid="{00000000-0005-0000-0000-00001E080000}"/>
    <cellStyle name="Output 2 8 6" xfId="1371" xr:uid="{00000000-0005-0000-0000-00001F080000}"/>
    <cellStyle name="Output 2 8 6 2" xfId="2100" xr:uid="{00000000-0005-0000-0000-000020080000}"/>
    <cellStyle name="Output 2 8 7" xfId="1643" xr:uid="{00000000-0005-0000-0000-000021080000}"/>
    <cellStyle name="Output 2 9" xfId="442" xr:uid="{00000000-0005-0000-0000-000022080000}"/>
    <cellStyle name="Output 2 9 2" xfId="595" xr:uid="{00000000-0005-0000-0000-000023080000}"/>
    <cellStyle name="Output 2 9 2 2" xfId="1729" xr:uid="{00000000-0005-0000-0000-000024080000}"/>
    <cellStyle name="Output 2 9 3" xfId="842" xr:uid="{00000000-0005-0000-0000-000025080000}"/>
    <cellStyle name="Output 2 9 3 2" xfId="1827" xr:uid="{00000000-0005-0000-0000-000026080000}"/>
    <cellStyle name="Output 2 9 4" xfId="1029" xr:uid="{00000000-0005-0000-0000-000027080000}"/>
    <cellStyle name="Output 2 9 4 2" xfId="1919" xr:uid="{00000000-0005-0000-0000-000028080000}"/>
    <cellStyle name="Output 2 9 5" xfId="1213" xr:uid="{00000000-0005-0000-0000-000029080000}"/>
    <cellStyle name="Output 2 9 5 2" xfId="2013" xr:uid="{00000000-0005-0000-0000-00002A080000}"/>
    <cellStyle name="Output 2 9 6" xfId="1375" xr:uid="{00000000-0005-0000-0000-00002B080000}"/>
    <cellStyle name="Output 2 9 6 2" xfId="2104" xr:uid="{00000000-0005-0000-0000-00002C080000}"/>
    <cellStyle name="Output 2 9 7" xfId="1647" xr:uid="{00000000-0005-0000-0000-00002D080000}"/>
    <cellStyle name="Percent" xfId="2245" builtinId="5"/>
    <cellStyle name="Percent 2" xfId="12" xr:uid="{00000000-0005-0000-0000-00002F080000}"/>
    <cellStyle name="Percent 2 2" xfId="20" xr:uid="{00000000-0005-0000-0000-000030080000}"/>
    <cellStyle name="Percent 2 2 2" xfId="41" xr:uid="{00000000-0005-0000-0000-000031080000}"/>
    <cellStyle name="Percent 2 2 2 2" xfId="122" xr:uid="{00000000-0005-0000-0000-000032080000}"/>
    <cellStyle name="Percent 2 2 2 3" xfId="143" xr:uid="{00000000-0005-0000-0000-000033080000}"/>
    <cellStyle name="Percent 2 2 2 4" xfId="164" xr:uid="{00000000-0005-0000-0000-000034080000}"/>
    <cellStyle name="Percent 2 2 2 5" xfId="185" xr:uid="{00000000-0005-0000-0000-000035080000}"/>
    <cellStyle name="Percent 2 2 2 6" xfId="206" xr:uid="{00000000-0005-0000-0000-000036080000}"/>
    <cellStyle name="Percent 2 3" xfId="34" xr:uid="{00000000-0005-0000-0000-000037080000}"/>
    <cellStyle name="Percent 2 3 2" xfId="115" xr:uid="{00000000-0005-0000-0000-000038080000}"/>
    <cellStyle name="Percent 2 3 3" xfId="136" xr:uid="{00000000-0005-0000-0000-000039080000}"/>
    <cellStyle name="Percent 2 3 4" xfId="157" xr:uid="{00000000-0005-0000-0000-00003A080000}"/>
    <cellStyle name="Percent 2 3 5" xfId="178" xr:uid="{00000000-0005-0000-0000-00003B080000}"/>
    <cellStyle name="Percent 2 3 6" xfId="199" xr:uid="{00000000-0005-0000-0000-00003C080000}"/>
    <cellStyle name="Percent 2 4" xfId="226" xr:uid="{00000000-0005-0000-0000-00003D080000}"/>
    <cellStyle name="Percent 2 4 2" xfId="416" xr:uid="{00000000-0005-0000-0000-00003E080000}"/>
    <cellStyle name="Percent 2 4 3" xfId="573" xr:uid="{00000000-0005-0000-0000-00003F080000}"/>
    <cellStyle name="Percent 2 4 4" xfId="817" xr:uid="{00000000-0005-0000-0000-000040080000}"/>
    <cellStyle name="Percent 2 4 5" xfId="1003" xr:uid="{00000000-0005-0000-0000-000041080000}"/>
    <cellStyle name="Percent 2 4 6" xfId="1187" xr:uid="{00000000-0005-0000-0000-000042080000}"/>
    <cellStyle name="Percent 2 4 7" xfId="1349" xr:uid="{00000000-0005-0000-0000-000043080000}"/>
    <cellStyle name="Percent 3" xfId="13" xr:uid="{00000000-0005-0000-0000-000044080000}"/>
    <cellStyle name="Percent 3 2" xfId="24" xr:uid="{00000000-0005-0000-0000-000045080000}"/>
    <cellStyle name="Percent 4" xfId="93" xr:uid="{00000000-0005-0000-0000-000046080000}"/>
    <cellStyle name="Percent 5" xfId="221" xr:uid="{00000000-0005-0000-0000-000047080000}"/>
    <cellStyle name="Percent 5 10" xfId="1566" xr:uid="{00000000-0005-0000-0000-000048080000}"/>
    <cellStyle name="Percent 5 2" xfId="412" xr:uid="{00000000-0005-0000-0000-000049080000}"/>
    <cellStyle name="Percent 5 2 2" xfId="1622" xr:uid="{00000000-0005-0000-0000-00004A080000}"/>
    <cellStyle name="Percent 5 3" xfId="569" xr:uid="{00000000-0005-0000-0000-00004B080000}"/>
    <cellStyle name="Percent 5 3 2" xfId="1707" xr:uid="{00000000-0005-0000-0000-00004C080000}"/>
    <cellStyle name="Percent 5 4" xfId="812" xr:uid="{00000000-0005-0000-0000-00004D080000}"/>
    <cellStyle name="Percent 5 4 2" xfId="1804" xr:uid="{00000000-0005-0000-0000-00004E080000}"/>
    <cellStyle name="Percent 5 5" xfId="998" xr:uid="{00000000-0005-0000-0000-00004F080000}"/>
    <cellStyle name="Percent 5 5 2" xfId="1893" xr:uid="{00000000-0005-0000-0000-000050080000}"/>
    <cellStyle name="Percent 5 6" xfId="1182" xr:uid="{00000000-0005-0000-0000-000051080000}"/>
    <cellStyle name="Percent 5 6 2" xfId="1988" xr:uid="{00000000-0005-0000-0000-000052080000}"/>
    <cellStyle name="Percent 5 7" xfId="1345" xr:uid="{00000000-0005-0000-0000-000053080000}"/>
    <cellStyle name="Percent 5 7 2" xfId="2078" xr:uid="{00000000-0005-0000-0000-000054080000}"/>
    <cellStyle name="Percent 5 8" xfId="1410" xr:uid="{00000000-0005-0000-0000-000055080000}"/>
    <cellStyle name="Percent 5 8 2" xfId="2139" xr:uid="{00000000-0005-0000-0000-000056080000}"/>
    <cellStyle name="Percent 5 9" xfId="1508" xr:uid="{00000000-0005-0000-0000-000057080000}"/>
    <cellStyle name="Percent 5 9 2" xfId="2235" xr:uid="{00000000-0005-0000-0000-000058080000}"/>
    <cellStyle name="Percent 6" xfId="1426" xr:uid="{00000000-0005-0000-0000-000059080000}"/>
    <cellStyle name="Percent 7" xfId="1510" xr:uid="{00000000-0005-0000-0000-00005A080000}"/>
    <cellStyle name="Percent 8" xfId="2238" xr:uid="{00000000-0005-0000-0000-00005B080000}"/>
    <cellStyle name="Percent 8 2" xfId="2254" xr:uid="{00000000-0005-0000-0000-00005C080000}"/>
    <cellStyle name="Percent 9" xfId="2248" xr:uid="{00000000-0005-0000-0000-00005D080000}"/>
    <cellStyle name="Title 2" xfId="84" xr:uid="{00000000-0005-0000-0000-00005E080000}"/>
    <cellStyle name="Total 2" xfId="85" xr:uid="{00000000-0005-0000-0000-00005F080000}"/>
    <cellStyle name="Total 2 10" xfId="295" xr:uid="{00000000-0005-0000-0000-000060080000}"/>
    <cellStyle name="Total 2 10 2" xfId="1580" xr:uid="{00000000-0005-0000-0000-000061080000}"/>
    <cellStyle name="Total 2 11" xfId="683" xr:uid="{00000000-0005-0000-0000-000062080000}"/>
    <cellStyle name="Total 2 11 2" xfId="1761" xr:uid="{00000000-0005-0000-0000-000063080000}"/>
    <cellStyle name="Total 2 12" xfId="875" xr:uid="{00000000-0005-0000-0000-000064080000}"/>
    <cellStyle name="Total 2 12 2" xfId="1851" xr:uid="{00000000-0005-0000-0000-000065080000}"/>
    <cellStyle name="Total 2 13" xfId="1057" xr:uid="{00000000-0005-0000-0000-000066080000}"/>
    <cellStyle name="Total 2 13 2" xfId="1946" xr:uid="{00000000-0005-0000-0000-000067080000}"/>
    <cellStyle name="Total 2 14" xfId="1236" xr:uid="{00000000-0005-0000-0000-000068080000}"/>
    <cellStyle name="Total 2 14 2" xfId="2036" xr:uid="{00000000-0005-0000-0000-000069080000}"/>
    <cellStyle name="Total 2 15" xfId="1461" xr:uid="{00000000-0005-0000-0000-00006A080000}"/>
    <cellStyle name="Total 2 15 2" xfId="2188" xr:uid="{00000000-0005-0000-0000-00006B080000}"/>
    <cellStyle name="Total 2 16" xfId="1466" xr:uid="{00000000-0005-0000-0000-00006C080000}"/>
    <cellStyle name="Total 2 16 2" xfId="2193" xr:uid="{00000000-0005-0000-0000-00006D080000}"/>
    <cellStyle name="Total 2 17" xfId="1524" xr:uid="{00000000-0005-0000-0000-00006E080000}"/>
    <cellStyle name="Total 2 2" xfId="422" xr:uid="{00000000-0005-0000-0000-00006F080000}"/>
    <cellStyle name="Total 2 2 2" xfId="578" xr:uid="{00000000-0005-0000-0000-000070080000}"/>
    <cellStyle name="Total 2 2 2 2" xfId="1712" xr:uid="{00000000-0005-0000-0000-000071080000}"/>
    <cellStyle name="Total 2 2 3" xfId="823" xr:uid="{00000000-0005-0000-0000-000072080000}"/>
    <cellStyle name="Total 2 2 3 2" xfId="1809" xr:uid="{00000000-0005-0000-0000-000073080000}"/>
    <cellStyle name="Total 2 2 4" xfId="1009" xr:uid="{00000000-0005-0000-0000-000074080000}"/>
    <cellStyle name="Total 2 2 4 2" xfId="1899" xr:uid="{00000000-0005-0000-0000-000075080000}"/>
    <cellStyle name="Total 2 2 5" xfId="1193" xr:uid="{00000000-0005-0000-0000-000076080000}"/>
    <cellStyle name="Total 2 2 5 2" xfId="1994" xr:uid="{00000000-0005-0000-0000-000077080000}"/>
    <cellStyle name="Total 2 2 6" xfId="1355" xr:uid="{00000000-0005-0000-0000-000078080000}"/>
    <cellStyle name="Total 2 2 6 2" xfId="2084" xr:uid="{00000000-0005-0000-0000-000079080000}"/>
    <cellStyle name="Total 2 2 7" xfId="1628" xr:uid="{00000000-0005-0000-0000-00007A080000}"/>
    <cellStyle name="Total 2 3" xfId="437" xr:uid="{00000000-0005-0000-0000-00007B080000}"/>
    <cellStyle name="Total 2 3 2" xfId="590" xr:uid="{00000000-0005-0000-0000-00007C080000}"/>
    <cellStyle name="Total 2 3 2 2" xfId="1724" xr:uid="{00000000-0005-0000-0000-00007D080000}"/>
    <cellStyle name="Total 2 3 3" xfId="837" xr:uid="{00000000-0005-0000-0000-00007E080000}"/>
    <cellStyle name="Total 2 3 3 2" xfId="1822" xr:uid="{00000000-0005-0000-0000-00007F080000}"/>
    <cellStyle name="Total 2 3 4" xfId="1024" xr:uid="{00000000-0005-0000-0000-000080080000}"/>
    <cellStyle name="Total 2 3 4 2" xfId="1914" xr:uid="{00000000-0005-0000-0000-000081080000}"/>
    <cellStyle name="Total 2 3 5" xfId="1208" xr:uid="{00000000-0005-0000-0000-000082080000}"/>
    <cellStyle name="Total 2 3 5 2" xfId="2008" xr:uid="{00000000-0005-0000-0000-000083080000}"/>
    <cellStyle name="Total 2 3 6" xfId="1370" xr:uid="{00000000-0005-0000-0000-000084080000}"/>
    <cellStyle name="Total 2 3 6 2" xfId="2099" xr:uid="{00000000-0005-0000-0000-000085080000}"/>
    <cellStyle name="Total 2 3 7" xfId="1642" xr:uid="{00000000-0005-0000-0000-000086080000}"/>
    <cellStyle name="Total 2 4" xfId="446" xr:uid="{00000000-0005-0000-0000-000087080000}"/>
    <cellStyle name="Total 2 4 2" xfId="599" xr:uid="{00000000-0005-0000-0000-000088080000}"/>
    <cellStyle name="Total 2 4 2 2" xfId="1733" xr:uid="{00000000-0005-0000-0000-000089080000}"/>
    <cellStyle name="Total 2 4 3" xfId="846" xr:uid="{00000000-0005-0000-0000-00008A080000}"/>
    <cellStyle name="Total 2 4 3 2" xfId="1831" xr:uid="{00000000-0005-0000-0000-00008B080000}"/>
    <cellStyle name="Total 2 4 4" xfId="1033" xr:uid="{00000000-0005-0000-0000-00008C080000}"/>
    <cellStyle name="Total 2 4 4 2" xfId="1923" xr:uid="{00000000-0005-0000-0000-00008D080000}"/>
    <cellStyle name="Total 2 4 5" xfId="1217" xr:uid="{00000000-0005-0000-0000-00008E080000}"/>
    <cellStyle name="Total 2 4 5 2" xfId="2017" xr:uid="{00000000-0005-0000-0000-00008F080000}"/>
    <cellStyle name="Total 2 4 6" xfId="1379" xr:uid="{00000000-0005-0000-0000-000090080000}"/>
    <cellStyle name="Total 2 4 6 2" xfId="2108" xr:uid="{00000000-0005-0000-0000-000091080000}"/>
    <cellStyle name="Total 2 4 7" xfId="1651" xr:uid="{00000000-0005-0000-0000-000092080000}"/>
    <cellStyle name="Total 2 5" xfId="450" xr:uid="{00000000-0005-0000-0000-000093080000}"/>
    <cellStyle name="Total 2 5 2" xfId="603" xr:uid="{00000000-0005-0000-0000-000094080000}"/>
    <cellStyle name="Total 2 5 2 2" xfId="1737" xr:uid="{00000000-0005-0000-0000-000095080000}"/>
    <cellStyle name="Total 2 5 3" xfId="850" xr:uid="{00000000-0005-0000-0000-000096080000}"/>
    <cellStyle name="Total 2 5 3 2" xfId="1835" xr:uid="{00000000-0005-0000-0000-000097080000}"/>
    <cellStyle name="Total 2 5 4" xfId="1037" xr:uid="{00000000-0005-0000-0000-000098080000}"/>
    <cellStyle name="Total 2 5 4 2" xfId="1927" xr:uid="{00000000-0005-0000-0000-000099080000}"/>
    <cellStyle name="Total 2 5 5" xfId="1221" xr:uid="{00000000-0005-0000-0000-00009A080000}"/>
    <cellStyle name="Total 2 5 5 2" xfId="2021" xr:uid="{00000000-0005-0000-0000-00009B080000}"/>
    <cellStyle name="Total 2 5 6" xfId="1383" xr:uid="{00000000-0005-0000-0000-00009C080000}"/>
    <cellStyle name="Total 2 5 6 2" xfId="2112" xr:uid="{00000000-0005-0000-0000-00009D080000}"/>
    <cellStyle name="Total 2 5 7" xfId="1655" xr:uid="{00000000-0005-0000-0000-00009E080000}"/>
    <cellStyle name="Total 2 6" xfId="455" xr:uid="{00000000-0005-0000-0000-00009F080000}"/>
    <cellStyle name="Total 2 6 2" xfId="608" xr:uid="{00000000-0005-0000-0000-0000A0080000}"/>
    <cellStyle name="Total 2 6 2 2" xfId="1742" xr:uid="{00000000-0005-0000-0000-0000A1080000}"/>
    <cellStyle name="Total 2 6 3" xfId="855" xr:uid="{00000000-0005-0000-0000-0000A2080000}"/>
    <cellStyle name="Total 2 6 3 2" xfId="1840" xr:uid="{00000000-0005-0000-0000-0000A3080000}"/>
    <cellStyle name="Total 2 6 4" xfId="1042" xr:uid="{00000000-0005-0000-0000-0000A4080000}"/>
    <cellStyle name="Total 2 6 4 2" xfId="1932" xr:uid="{00000000-0005-0000-0000-0000A5080000}"/>
    <cellStyle name="Total 2 6 5" xfId="1226" xr:uid="{00000000-0005-0000-0000-0000A6080000}"/>
    <cellStyle name="Total 2 6 5 2" xfId="2026" xr:uid="{00000000-0005-0000-0000-0000A7080000}"/>
    <cellStyle name="Total 2 6 6" xfId="1388" xr:uid="{00000000-0005-0000-0000-0000A8080000}"/>
    <cellStyle name="Total 2 6 6 2" xfId="2117" xr:uid="{00000000-0005-0000-0000-0000A9080000}"/>
    <cellStyle name="Total 2 6 7" xfId="1660" xr:uid="{00000000-0005-0000-0000-0000AA080000}"/>
    <cellStyle name="Total 2 7" xfId="444" xr:uid="{00000000-0005-0000-0000-0000AB080000}"/>
    <cellStyle name="Total 2 7 2" xfId="597" xr:uid="{00000000-0005-0000-0000-0000AC080000}"/>
    <cellStyle name="Total 2 7 2 2" xfId="1731" xr:uid="{00000000-0005-0000-0000-0000AD080000}"/>
    <cellStyle name="Total 2 7 3" xfId="844" xr:uid="{00000000-0005-0000-0000-0000AE080000}"/>
    <cellStyle name="Total 2 7 3 2" xfId="1829" xr:uid="{00000000-0005-0000-0000-0000AF080000}"/>
    <cellStyle name="Total 2 7 4" xfId="1031" xr:uid="{00000000-0005-0000-0000-0000B0080000}"/>
    <cellStyle name="Total 2 7 4 2" xfId="1921" xr:uid="{00000000-0005-0000-0000-0000B1080000}"/>
    <cellStyle name="Total 2 7 5" xfId="1215" xr:uid="{00000000-0005-0000-0000-0000B2080000}"/>
    <cellStyle name="Total 2 7 5 2" xfId="2015" xr:uid="{00000000-0005-0000-0000-0000B3080000}"/>
    <cellStyle name="Total 2 7 6" xfId="1377" xr:uid="{00000000-0005-0000-0000-0000B4080000}"/>
    <cellStyle name="Total 2 7 6 2" xfId="2106" xr:uid="{00000000-0005-0000-0000-0000B5080000}"/>
    <cellStyle name="Total 2 7 7" xfId="1649" xr:uid="{00000000-0005-0000-0000-0000B6080000}"/>
    <cellStyle name="Total 2 8" xfId="443" xr:uid="{00000000-0005-0000-0000-0000B7080000}"/>
    <cellStyle name="Total 2 8 2" xfId="596" xr:uid="{00000000-0005-0000-0000-0000B8080000}"/>
    <cellStyle name="Total 2 8 2 2" xfId="1730" xr:uid="{00000000-0005-0000-0000-0000B9080000}"/>
    <cellStyle name="Total 2 8 3" xfId="843" xr:uid="{00000000-0005-0000-0000-0000BA080000}"/>
    <cellStyle name="Total 2 8 3 2" xfId="1828" xr:uid="{00000000-0005-0000-0000-0000BB080000}"/>
    <cellStyle name="Total 2 8 4" xfId="1030" xr:uid="{00000000-0005-0000-0000-0000BC080000}"/>
    <cellStyle name="Total 2 8 4 2" xfId="1920" xr:uid="{00000000-0005-0000-0000-0000BD080000}"/>
    <cellStyle name="Total 2 8 5" xfId="1214" xr:uid="{00000000-0005-0000-0000-0000BE080000}"/>
    <cellStyle name="Total 2 8 5 2" xfId="2014" xr:uid="{00000000-0005-0000-0000-0000BF080000}"/>
    <cellStyle name="Total 2 8 6" xfId="1376" xr:uid="{00000000-0005-0000-0000-0000C0080000}"/>
    <cellStyle name="Total 2 8 6 2" xfId="2105" xr:uid="{00000000-0005-0000-0000-0000C1080000}"/>
    <cellStyle name="Total 2 8 7" xfId="1648" xr:uid="{00000000-0005-0000-0000-0000C2080000}"/>
    <cellStyle name="Total 2 9" xfId="456" xr:uid="{00000000-0005-0000-0000-0000C3080000}"/>
    <cellStyle name="Total 2 9 2" xfId="609" xr:uid="{00000000-0005-0000-0000-0000C4080000}"/>
    <cellStyle name="Total 2 9 2 2" xfId="1743" xr:uid="{00000000-0005-0000-0000-0000C5080000}"/>
    <cellStyle name="Total 2 9 3" xfId="856" xr:uid="{00000000-0005-0000-0000-0000C6080000}"/>
    <cellStyle name="Total 2 9 3 2" xfId="1841" xr:uid="{00000000-0005-0000-0000-0000C7080000}"/>
    <cellStyle name="Total 2 9 4" xfId="1043" xr:uid="{00000000-0005-0000-0000-0000C8080000}"/>
    <cellStyle name="Total 2 9 4 2" xfId="1933" xr:uid="{00000000-0005-0000-0000-0000C9080000}"/>
    <cellStyle name="Total 2 9 5" xfId="1227" xr:uid="{00000000-0005-0000-0000-0000CA080000}"/>
    <cellStyle name="Total 2 9 5 2" xfId="2027" xr:uid="{00000000-0005-0000-0000-0000CB080000}"/>
    <cellStyle name="Total 2 9 6" xfId="1389" xr:uid="{00000000-0005-0000-0000-0000CC080000}"/>
    <cellStyle name="Total 2 9 6 2" xfId="2118" xr:uid="{00000000-0005-0000-0000-0000CD080000}"/>
    <cellStyle name="Total 2 9 7" xfId="1661" xr:uid="{00000000-0005-0000-0000-0000CE080000}"/>
    <cellStyle name="Warning Text 2" xfId="86" xr:uid="{00000000-0005-0000-0000-0000CF080000}"/>
  </cellStyles>
  <dxfs count="2858">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z val="10"/>
        <color auto="1"/>
        <name val="Arial"/>
        <scheme val="none"/>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theme="0"/>
        <name val="Calibri"/>
        <scheme val="minor"/>
      </font>
      <numFmt numFmtId="0" formatCode="General"/>
      <fill>
        <patternFill patternType="solid">
          <fgColor indexed="64"/>
          <bgColor theme="1"/>
        </patternFill>
      </fill>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theme="0"/>
        <name val="Calibri"/>
        <scheme val="minor"/>
      </font>
      <numFmt numFmtId="0" formatCode="General"/>
      <fill>
        <patternFill patternType="solid">
          <fgColor indexed="64"/>
          <bgColor theme="1"/>
        </patternFill>
      </fill>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theme="0"/>
        <name val="Calibri"/>
        <scheme val="minor"/>
      </font>
      <numFmt numFmtId="0" formatCode="General"/>
      <fill>
        <patternFill patternType="solid">
          <fgColor indexed="64"/>
          <bgColor theme="1"/>
        </patternFill>
      </fill>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theme="0"/>
        <name val="Calibri"/>
        <scheme val="minor"/>
      </font>
      <numFmt numFmtId="0" formatCode="General"/>
      <fill>
        <patternFill patternType="solid">
          <fgColor indexed="64"/>
          <bgColor theme="1"/>
        </patternFill>
      </fill>
      <alignment horizontal="general" vertical="bottom" textRotation="0" wrapText="0" indent="0" justifyLastLine="0" shrinkToFit="0" readingOrder="0"/>
      <border diagonalUp="0" diagonalDown="0" outline="0">
        <left style="thin">
          <color auto="1"/>
        </left>
        <right style="thin">
          <color auto="1"/>
        </right>
        <top/>
        <bottom/>
      </border>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theme="0"/>
        <name val="Calibri"/>
        <scheme val="minor"/>
      </font>
      <numFmt numFmtId="0" formatCode="General"/>
      <fill>
        <patternFill patternType="solid">
          <fgColor indexed="64"/>
          <bgColor theme="1"/>
        </patternFill>
      </fill>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theme="0"/>
        <name val="Calibri"/>
        <scheme val="minor"/>
      </font>
      <numFmt numFmtId="0" formatCode="General"/>
      <fill>
        <patternFill patternType="solid">
          <fgColor indexed="64"/>
          <bgColor theme="1"/>
        </patternFill>
      </fill>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theme="0"/>
        <name val="Calibri"/>
        <scheme val="minor"/>
      </font>
      <numFmt numFmtId="0" formatCode="General"/>
      <fill>
        <patternFill patternType="solid">
          <fgColor indexed="64"/>
          <bgColor theme="1"/>
        </patternFill>
      </fill>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theme="0"/>
        <name val="Calibri"/>
        <scheme val="minor"/>
      </font>
      <numFmt numFmtId="0" formatCode="General"/>
      <fill>
        <patternFill patternType="solid">
          <fgColor indexed="64"/>
          <bgColor theme="1"/>
        </patternFill>
      </fill>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numFmt numFmtId="166" formatCode="_-&quot;$&quot;* #,##0.00_-;\-&quot;$&quot;* #,##0.00_-;_-&quot;$&quot;* &quot;-&quot;??_-;_-@_-"/>
    </dxf>
    <dxf>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theme="0"/>
        <name val="Calibri"/>
        <scheme val="minor"/>
      </font>
      <numFmt numFmtId="0" formatCode="General"/>
      <fill>
        <patternFill patternType="solid">
          <fgColor indexed="64"/>
          <bgColor theme="1"/>
        </patternFill>
      </fill>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quot;#,##0.00;[Red]\-&quot;$&quot;#,##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theme="0"/>
        <name val="Calibri"/>
        <scheme val="minor"/>
      </font>
      <numFmt numFmtId="0" formatCode="General"/>
      <fill>
        <patternFill patternType="solid">
          <fgColor indexed="64"/>
          <bgColor theme="1"/>
        </patternFill>
      </fill>
      <alignment horizontal="general" vertical="bottom" textRotation="0" wrapText="0" indent="0" justifyLastLine="0" shrinkToFit="0" readingOrder="0"/>
      <border diagonalUp="0" diagonalDown="0" outline="0">
        <left style="thin">
          <color auto="1"/>
        </left>
        <right style="thin">
          <color auto="1"/>
        </right>
        <top/>
        <bottom/>
      </border>
    </dxf>
    <dxf>
      <font>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1" hidden="0"/>
    </dxf>
    <dxf>
      <font>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1" hidden="0"/>
    </dxf>
    <dxf>
      <font>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theme="0"/>
        <name val="Calibri"/>
        <scheme val="minor"/>
      </font>
      <numFmt numFmtId="0" formatCode="General"/>
      <fill>
        <patternFill patternType="solid">
          <fgColor indexed="64"/>
          <bgColor theme="1"/>
        </patternFill>
      </fill>
      <alignment horizontal="general" vertical="bottom" textRotation="0" wrapText="0" indent="0" justifyLastLine="0" shrinkToFit="0" readingOrder="0"/>
      <border diagonalUp="0" diagonalDown="0" outline="0">
        <left style="thin">
          <color auto="1"/>
        </left>
        <right style="thin">
          <color auto="1"/>
        </right>
        <top/>
        <bottom/>
      </border>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theme="0"/>
        <name val="Calibri"/>
        <scheme val="minor"/>
      </font>
      <numFmt numFmtId="0" formatCode="General"/>
      <fill>
        <patternFill patternType="solid">
          <fgColor indexed="64"/>
          <bgColor theme="1"/>
        </patternFill>
      </fill>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scheme val="none"/>
      </font>
      <numFmt numFmtId="166" formatCode="_-&quot;$&quot;* #,##0.00_-;\-&quot;$&quot;* #,##0.00_-;_-&quot;$&quot;* &quot;-&quot;??_-;_-@_-"/>
      <fill>
        <patternFill patternType="none">
          <fgColor rgb="FF000000"/>
          <bgColor rgb="FFFFFFFF"/>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166" formatCode="_-&quot;$&quot;* #,##0.00_-;\-&quot;$&quot;* #,##0.00_-;_-&quot;$&quot;* &quot;-&quot;??_-;_-@_-"/>
      <fill>
        <patternFill patternType="none">
          <fgColor rgb="FF000000"/>
          <bgColor rgb="FFFFFFFF"/>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2"/>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fill>
        <patternFill patternType="none">
          <fgColor rgb="FF000000"/>
          <bgColor rgb="FFFFFFFF"/>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none"/>
      </font>
      <fill>
        <patternFill patternType="none">
          <fgColor rgb="FF000000"/>
          <bgColor rgb="FFFFFFFF"/>
        </patternFill>
      </fill>
    </dxf>
    <dxf>
      <font>
        <b val="0"/>
        <i val="0"/>
        <strike val="0"/>
        <condense val="0"/>
        <extend val="0"/>
        <outline val="0"/>
        <shadow val="0"/>
        <u val="none"/>
        <vertAlign val="baseline"/>
        <sz val="10"/>
        <color auto="1"/>
        <name val="Calibri"/>
        <scheme val="none"/>
      </font>
      <fill>
        <patternFill patternType="none">
          <fgColor rgb="FF000000"/>
          <bgColor rgb="FFFFFFFF"/>
        </patternFill>
      </fill>
    </dxf>
    <dxf>
      <font>
        <b val="0"/>
        <i val="0"/>
        <strike val="0"/>
        <condense val="0"/>
        <extend val="0"/>
        <outline val="0"/>
        <shadow val="0"/>
        <u val="none"/>
        <vertAlign val="baseline"/>
        <sz val="10"/>
        <color auto="1"/>
        <name val="Calibri"/>
        <scheme val="none"/>
      </font>
      <fill>
        <patternFill patternType="none">
          <fgColor indexed="64"/>
          <bgColor indexed="65"/>
        </patternFill>
      </fill>
    </dxf>
    <dxf>
      <font>
        <b val="0"/>
        <i val="0"/>
        <strike val="0"/>
        <condense val="0"/>
        <extend val="0"/>
        <outline val="0"/>
        <shadow val="0"/>
        <u val="none"/>
        <vertAlign val="baseline"/>
        <sz val="10"/>
        <color auto="1"/>
        <name val="Calibri"/>
        <scheme val="none"/>
      </font>
      <fill>
        <patternFill patternType="none">
          <fgColor rgb="FF000000"/>
          <bgColor rgb="FFFFFFFF"/>
        </patternFill>
      </fill>
    </dxf>
    <dxf>
      <font>
        <b val="0"/>
        <i val="0"/>
        <strike val="0"/>
        <condense val="0"/>
        <extend val="0"/>
        <outline val="0"/>
        <shadow val="0"/>
        <u val="none"/>
        <vertAlign val="baseline"/>
        <sz val="10"/>
        <color auto="1"/>
        <name val="Calibri"/>
        <scheme val="none"/>
      </font>
      <fill>
        <patternFill patternType="none">
          <fgColor rgb="FF000000"/>
          <bgColor rgb="FFFFFFFF"/>
        </patternFill>
      </fill>
    </dxf>
    <dxf>
      <font>
        <b val="0"/>
        <i val="0"/>
        <strike val="0"/>
        <condense val="0"/>
        <extend val="0"/>
        <outline val="0"/>
        <shadow val="0"/>
        <u val="none"/>
        <vertAlign val="baseline"/>
        <sz val="10"/>
        <color auto="1"/>
        <name val="Calibri"/>
        <scheme val="none"/>
      </font>
      <numFmt numFmtId="166" formatCode="_-&quot;$&quot;* #,##0.00_-;\-&quot;$&quot;* #,##0.00_-;_-&quot;$&quot;* &quot;-&quot;??_-;_-@_-"/>
      <fill>
        <patternFill patternType="none">
          <fgColor rgb="FF000000"/>
          <bgColor rgb="FFFFFFFF"/>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166" formatCode="_-&quot;$&quot;* #,##0.00_-;\-&quot;$&quot;* #,##0.00_-;_-&quot;$&quot;* &quot;-&quot;??_-;_-@_-"/>
      <fill>
        <patternFill patternType="none">
          <fgColor rgb="FF000000"/>
          <bgColor rgb="FFFFFFFF"/>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2"/>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fill>
        <patternFill patternType="none">
          <fgColor rgb="FF000000"/>
          <bgColor rgb="FFFFFFFF"/>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tint="-0.1499984740745262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tint="-0.1499984740745262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border outline="0">
        <top style="thin">
          <color auto="1"/>
        </top>
      </border>
    </dxf>
    <dxf>
      <border outline="0">
        <bottom style="thin">
          <color auto="1"/>
        </bottom>
      </border>
    </dxf>
    <dxf>
      <border outline="0">
        <right style="medium">
          <color indexed="64"/>
        </right>
        <bottom style="double">
          <color indexed="64"/>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theme="5" tint="0.5999938962981048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5" tint="0.5999938962981048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5" tint="0.5999938962981048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5" tint="0.5999938962981048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166" formatCode="_-&quot;$&quot;* #,##0.00_-;\-&quot;$&quot;* #,##0.00_-;_-&quot;$&quot;* &quot;-&quot;??_-;_-@_-"/>
      <fill>
        <patternFill patternType="none">
          <fgColor rgb="FF000000"/>
          <bgColor rgb="FFFFFFFF"/>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166" formatCode="_-&quot;$&quot;* #,##0.00_-;\-&quot;$&quot;* #,##0.00_-;_-&quot;$&quot;* &quot;-&quot;??_-;_-@_-"/>
      <fill>
        <patternFill patternType="none">
          <fgColor rgb="FF000000"/>
          <bgColor rgb="FFFFFFFF"/>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166" formatCode="_-&quot;$&quot;* #,##0.00_-;\-&quot;$&quot;* #,##0.00_-;_-&quot;$&quot;* &quot;-&quot;??_-;_-@_-"/>
      <fill>
        <patternFill patternType="none">
          <fgColor rgb="FF000000"/>
          <bgColor rgb="FFFFFFFF"/>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5" tint="0.5999938962981048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5" tint="0.5999938962981048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none"/>
      </font>
      <fill>
        <patternFill patternType="none">
          <fgColor rgb="FF000000"/>
          <bgColor rgb="FFFFFFFF"/>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none"/>
      </font>
      <fill>
        <patternFill patternType="none">
          <fgColor rgb="FF000000"/>
          <bgColor rgb="FFFFFFFF"/>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none"/>
      </font>
      <fill>
        <patternFill patternType="none">
          <fgColor rgb="FF000000"/>
          <bgColor rgb="FFFFFFFF"/>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166" formatCode="_-&quot;$&quot;* #,##0.00_-;\-&quot;$&quot;* #,##0.00_-;_-&quot;$&quot;* &quot;-&quot;??_-;_-@_-"/>
      <fill>
        <patternFill patternType="none">
          <fgColor rgb="FF000000"/>
          <bgColor rgb="FFFFFFFF"/>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5" tint="0.5999938962981048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5" tint="0.5999938962981048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none"/>
      </font>
      <fill>
        <patternFill patternType="none">
          <fgColor rgb="FF000000"/>
          <bgColor rgb="FFFFFFFF"/>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5" tint="0.5999938962981048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solid">
          <fgColor indexed="64"/>
          <bgColor theme="5" tint="0.5999938962981048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5" tint="0.5999938962981048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5" tint="0.5999938962981048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indexed="8"/>
        <name val="Calibri"/>
        <scheme val="minor"/>
      </font>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border diagonalUp="0" diagonalDown="0" outline="0">
        <left/>
        <right/>
        <top/>
        <bottom/>
      </border>
    </dxf>
    <dxf>
      <font>
        <b val="0"/>
        <i val="0"/>
        <strike val="0"/>
        <condense val="0"/>
        <extend val="0"/>
        <outline val="0"/>
        <shadow val="0"/>
        <u val="none"/>
        <vertAlign val="baseline"/>
        <sz val="10"/>
        <color indexed="8"/>
        <name val="Calibri"/>
        <scheme val="minor"/>
      </font>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indexed="8"/>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border diagonalUp="0" diagonalDown="0" outline="0">
        <left/>
        <right/>
        <top/>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theme="0"/>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theme="0"/>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rgb="FFFF0000"/>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theme="0"/>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9"/>
        <color auto="1"/>
        <name val="Arial"/>
        <scheme val="none"/>
      </font>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5" tint="0.5999938962981048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5" tint="0.5999938962981048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5" tint="0.5999938962981048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5" tint="0.5999938962981048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5" tint="0.5999938962981048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2" formatCode="&quot;$&quot;#,##0.00_);[Red]\(&quot;$&quot;#,##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solid">
          <fgColor indexed="64"/>
          <bgColor theme="0"/>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solid">
          <fgColor indexed="64"/>
          <bgColor theme="0"/>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solid">
          <fgColor indexed="64"/>
          <bgColor theme="0"/>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71" formatCode="[&gt;=0]#,##0.0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fill>
        <patternFill patternType="none">
          <fgColor indexed="64"/>
          <bgColor auto="1"/>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border outline="0">
        <right style="medium">
          <color indexed="64"/>
        </right>
      </border>
    </dxf>
    <dxf>
      <font>
        <b val="0"/>
        <i val="0"/>
        <strike val="0"/>
        <outline val="0"/>
        <shadow val="0"/>
        <vertAlign val="baseline"/>
        <sz val="10"/>
        <color auto="1"/>
        <name val="Calibri"/>
        <scheme val="minor"/>
      </font>
      <fill>
        <patternFill patternType="none">
          <fgColor indexed="64"/>
          <bgColor auto="1"/>
        </patternFill>
      </fill>
    </dxf>
    <dxf>
      <font>
        <b val="0"/>
        <i val="0"/>
        <strike val="0"/>
        <outline val="0"/>
        <shadow val="0"/>
        <vertAlign val="baseline"/>
        <sz val="10"/>
        <color auto="1"/>
        <name val="Calibri"/>
        <scheme val="minor"/>
      </font>
      <fill>
        <patternFill patternType="none">
          <fgColor indexed="64"/>
          <bgColor auto="1"/>
        </patternFill>
      </fill>
    </dxf>
    <dxf>
      <font>
        <b val="0"/>
        <i val="0"/>
        <strike val="0"/>
        <outline val="0"/>
        <shadow val="0"/>
        <vertAlign val="baseline"/>
        <sz val="10"/>
        <color auto="1"/>
        <name val="Calibri"/>
        <scheme val="minor"/>
      </font>
      <fill>
        <patternFill patternType="none">
          <fgColor indexed="64"/>
          <bgColor auto="1"/>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theme="0"/>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fill>
        <patternFill patternType="none">
          <fgColor rgb="FF000000"/>
          <bgColor rgb="FFFFFFFF"/>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none"/>
      </font>
      <fill>
        <patternFill patternType="none">
          <fgColor rgb="FF000000"/>
          <bgColor rgb="FFFFFFFF"/>
        </patternFill>
      </fill>
    </dxf>
    <dxf>
      <font>
        <b val="0"/>
        <i val="0"/>
        <strike val="0"/>
        <condense val="0"/>
        <extend val="0"/>
        <outline val="0"/>
        <shadow val="0"/>
        <u val="none"/>
        <vertAlign val="baseline"/>
        <sz val="10"/>
        <color auto="1"/>
        <name val="Calibri"/>
        <scheme val="minor"/>
      </font>
      <numFmt numFmtId="169" formatCode="_(* #,##0_);_(* \(#,##0\);_(*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5" formatCode="_(* #,##0.00_);_(* \(#,##0.00\);_(* &quot;-&quot;??_);_(@_)"/>
      <fill>
        <patternFill patternType="none">
          <fgColor indexed="64"/>
          <bgColor indexed="65"/>
        </patternFill>
      </fill>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style="double">
          <color indexed="64"/>
        </top>
        <bottom/>
      </border>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style="double">
          <color indexed="64"/>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style="double">
          <color indexed="64"/>
        </top>
        <bottom/>
      </border>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style="double">
          <color indexed="64"/>
        </top>
        <bottom/>
      </border>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style="double">
          <color indexed="64"/>
        </top>
        <bottom/>
      </border>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style="double">
          <color indexed="64"/>
        </top>
        <bottom/>
      </border>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style="double">
          <color indexed="64"/>
        </top>
        <bottom/>
      </border>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border diagonalUp="0" diagonalDown="0" outline="0">
        <left/>
        <right/>
        <top/>
        <bottom/>
      </border>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outline val="0"/>
        <shadow val="0"/>
        <vertAlign val="baseline"/>
        <sz val="10"/>
        <color auto="1"/>
        <name val="Calibri"/>
        <scheme val="minor"/>
      </font>
      <numFmt numFmtId="166" formatCode="_-&quot;$&quot;* #,##0.00_-;\-&quot;$&quot;* #,##0.00_-;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bottom/>
      </border>
    </dxf>
    <dxf>
      <font>
        <b val="0"/>
        <i val="0"/>
        <strike val="0"/>
        <outline val="0"/>
        <shadow val="0"/>
        <vertAlign val="baseline"/>
        <sz val="10"/>
        <color auto="1"/>
        <name val="Calibri"/>
        <scheme val="minor"/>
      </font>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border>
        <top style="double">
          <color indexed="64"/>
        </top>
      </border>
    </dxf>
    <dxf>
      <font>
        <b val="0"/>
        <i val="0"/>
        <strike val="0"/>
        <outline val="0"/>
        <shadow val="0"/>
        <vertAlign val="baseline"/>
        <sz val="10"/>
        <color auto="1"/>
        <name val="Calibri"/>
        <scheme val="minor"/>
      </font>
      <fill>
        <patternFill patternType="none">
          <fgColor indexed="64"/>
          <bgColor auto="1"/>
        </patternFill>
      </fill>
    </dxf>
    <dxf>
      <font>
        <b val="0"/>
        <i val="0"/>
        <strike val="0"/>
        <outline val="0"/>
        <shadow val="0"/>
        <vertAlign val="baseline"/>
        <sz val="10"/>
        <color auto="1"/>
        <name val="Calibri"/>
        <scheme val="minor"/>
      </font>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auto="1"/>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medium">
          <color indexed="64"/>
        </right>
        <top style="medium">
          <color auto="1"/>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style="thin">
          <color auto="1"/>
        </left>
        <right style="thin">
          <color indexed="64"/>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strike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strike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strike val="0"/>
        <outline val="0"/>
        <shadow val="0"/>
        <u val="none"/>
        <vertAlign val="baseline"/>
        <sz val="10"/>
        <color auto="1"/>
        <name val="Calibri"/>
        <scheme val="minor"/>
      </font>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medium">
          <color auto="1"/>
        </left>
        <right/>
        <top style="medium">
          <color auto="1"/>
        </top>
        <bottom style="medium">
          <color auto="1"/>
        </bottom>
      </border>
    </dxf>
    <dxf>
      <border>
        <top style="medium">
          <color indexed="64"/>
        </top>
      </border>
    </dxf>
    <dxf>
      <border>
        <bottom style="thin">
          <color indexed="64"/>
        </bottom>
      </border>
    </dxf>
    <dxf>
      <font>
        <b val="0"/>
        <strike val="0"/>
        <outline val="0"/>
        <shadow val="0"/>
        <u val="none"/>
        <vertAlign val="baseline"/>
        <sz val="10"/>
        <color auto="1"/>
        <name val="Calibri"/>
        <scheme val="minor"/>
      </font>
      <fill>
        <patternFill patternType="none">
          <fgColor indexed="64"/>
          <bgColor auto="1"/>
        </patternFill>
      </fill>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scheme val="minor"/>
      </font>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auto="1"/>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medium">
          <color indexed="64"/>
        </right>
        <top style="medium">
          <color auto="1"/>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style="thin">
          <color auto="1"/>
        </left>
        <right style="thin">
          <color indexed="64"/>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strike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strike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style="medium">
          <color indexed="64"/>
        </top>
        <bottom style="medium">
          <color indexed="64"/>
        </bottom>
      </border>
    </dxf>
    <dxf>
      <font>
        <b val="0"/>
        <strike val="0"/>
        <outline val="0"/>
        <shadow val="0"/>
        <u val="none"/>
        <vertAlign val="baseline"/>
        <sz val="10"/>
        <color auto="1"/>
        <name val="Calibri"/>
        <scheme val="minor"/>
      </font>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medium">
          <color auto="1"/>
        </left>
        <right/>
        <top style="medium">
          <color auto="1"/>
        </top>
        <bottom style="medium">
          <color auto="1"/>
        </bottom>
      </border>
    </dxf>
    <dxf>
      <border>
        <top style="medium">
          <color indexed="64"/>
        </top>
      </border>
    </dxf>
    <dxf>
      <border>
        <bottom style="thin">
          <color indexed="64"/>
        </bottom>
      </border>
    </dxf>
    <dxf>
      <font>
        <b val="0"/>
        <strike val="0"/>
        <outline val="0"/>
        <shadow val="0"/>
        <u val="none"/>
        <vertAlign val="baseline"/>
        <sz val="10"/>
        <color auto="1"/>
        <name val="Calibri"/>
        <scheme val="minor"/>
      </font>
      <fill>
        <patternFill patternType="none">
          <fgColor indexed="64"/>
          <bgColor auto="1"/>
        </patternFill>
      </fill>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scheme val="minor"/>
      </font>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auto="1"/>
        </patternFill>
      </fill>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34" formatCode="_(&quot;$&quot;* #,##0.00_);_(&quot;$&quot;* \(#,##0.00\);_(&quot;$&quot;* &quot;-&quot;??_);_(@_)"/>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34" formatCode="_(&quot;$&quot;* #,##0.00_);_(&quot;$&quot;* \(#,##0.00\);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34" formatCode="_(&quot;$&quot;* #,##0.00_);_(&quot;$&quot;* \(#,##0.00\);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34" formatCode="_(&quot;$&quot;* #,##0.00_);_(&quot;$&quot;* \(#,##0.00\);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34" formatCode="_(&quot;$&quot;* #,##0.00_);_(&quot;$&quot;* \(#,##0.00\);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5" tint="0.39997558519241921"/>
        </patternFill>
      </fill>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tint="-0.1499984740745262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tint="-0.1499984740745262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numFmt numFmtId="166" formatCode="_-&quot;$&quot;* #,##0.00_-;\-&quot;$&quot;* #,##0.00_-;_-&quot;$&quot;* &quot;-&quot;??_-;_-@_-"/>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tint="-0.1499984740745262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9" formatCode="_(* #,##0_);_(* \(#,##0\);_(* &quot;-&quot;??_);_(@_)"/>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9" formatCode="_(* #,##0_);_(* \(#,##0\);_(* &quot;-&quot;??_);_(@_)"/>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9" formatCode="_(* #,##0_);_(* \(#,##0\);_(*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9" formatCode="_(* #,##0_);_(* \(#,##0\);_(* &quot;-&quot;??_);_(@_)"/>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9" formatCode="_(* #,##0_);_(* \(#,##0\);_(* &quot;-&quot;??_);_(@_)"/>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9" formatCode="_(* #,##0_);_(* \(#,##0\);_(*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9" formatCode="_(* #,##0_);_(* \(#,##0\);_(* &quot;-&quot;??_);_(@_)"/>
      <fill>
        <patternFill patternType="none">
          <fgColor indexed="64"/>
          <bgColor auto="1"/>
        </patternFill>
      </fill>
      <border diagonalUp="0" diagonalDown="0">
        <left/>
        <right/>
        <top style="thin">
          <color auto="1"/>
        </top>
        <bottom style="thin">
          <color auto="1"/>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9" formatCode="_(* #,##0_);_(* \(#,##0\);_(* &quot;-&quot;??_);_(@_)"/>
      <fill>
        <patternFill patternType="none">
          <fgColor indexed="64"/>
          <bgColor auto="1"/>
        </patternFill>
      </fill>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9" formatCode="_(* #,##0_);_(* \(#,##0\);_(* &quot;-&quot;??_);_(@_)"/>
      <fill>
        <patternFill patternType="solid">
          <fgColor indexed="64"/>
          <bgColor theme="0" tint="-0.14999847407452621"/>
        </patternFill>
      </fill>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auto="1"/>
        </patternFill>
      </fill>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auto="1"/>
        </patternFill>
      </fill>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auto="1"/>
        </patternFill>
      </fill>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auto="1"/>
        </patternFill>
      </fill>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auto="1"/>
        </patternFill>
      </fill>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auto="1"/>
        </patternFill>
      </fill>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auto="1"/>
        </patternFill>
      </fill>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auto="1"/>
        </patternFill>
      </fill>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auto="1"/>
        </patternFill>
      </fill>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auto="1"/>
        </patternFill>
      </fill>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auto="1"/>
        </patternFill>
      </fill>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outline="0">
        <left/>
        <right/>
        <top style="thin">
          <color auto="1"/>
        </top>
        <bottom/>
      </border>
    </dxf>
    <dxf>
      <font>
        <b val="0"/>
        <i val="0"/>
        <strike val="0"/>
        <condense val="0"/>
        <extend val="0"/>
        <outline val="0"/>
        <shadow val="0"/>
        <u val="none"/>
        <vertAlign val="baseline"/>
        <sz val="10"/>
        <color auto="1"/>
        <name val="Calibri"/>
        <scheme val="minor"/>
      </font>
      <fill>
        <patternFill patternType="none">
          <fgColor indexed="64"/>
          <bgColor auto="1"/>
        </patternFill>
      </fill>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indexed="64"/>
        </right>
        <top style="thin">
          <color indexed="64"/>
        </top>
        <bottom/>
      </border>
    </dxf>
    <dxf>
      <border outline="0">
        <top style="thin">
          <color auto="1"/>
        </top>
      </border>
    </dxf>
    <dxf>
      <border outline="0">
        <bottom style="thin">
          <color auto="1"/>
        </bottom>
      </border>
    </dxf>
    <dxf>
      <border outline="0">
        <right style="medium">
          <color indexed="64"/>
        </right>
        <bottom style="double">
          <color auto="1"/>
        </bottom>
      </border>
    </dxf>
    <dxf>
      <font>
        <b val="0"/>
        <i val="0"/>
        <strike val="0"/>
        <condense val="0"/>
        <extend val="0"/>
        <outline val="0"/>
        <shadow val="0"/>
        <u val="none"/>
        <vertAlign val="baseline"/>
        <sz val="10"/>
        <color auto="1"/>
        <name val="Calibri"/>
        <scheme val="minor"/>
      </font>
      <numFmt numFmtId="169" formatCode="_(* #,##0_);_(* \(#,##0\);_(*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9" formatCode="_(* #,##0_);_(* \(#,##0\);_(*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73" formatCode="_-[$$-1009]* #,##0.00_-;\-[$$-1009]* #,##0.00_-;_-[$$-1009]*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border>
        <top style="medium">
          <color indexed="64"/>
        </top>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Arial"/>
        <scheme val="none"/>
      </font>
      <border diagonalUp="0" diagonalDown="0" outline="0">
        <left style="thin">
          <color indexed="64"/>
        </left>
        <right style="medium">
          <color indexed="64"/>
        </right>
        <top style="medium">
          <color auto="1"/>
        </top>
        <bottom style="medium">
          <color indexed="64"/>
        </bottom>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border diagonalUp="0" diagonalDown="0" outline="0">
        <left style="thin">
          <color auto="1"/>
        </left>
        <right style="thin">
          <color indexed="64"/>
        </right>
        <top style="medium">
          <color indexed="64"/>
        </top>
        <bottom style="medium">
          <color indexed="64"/>
        </bottom>
      </border>
    </dxf>
    <dxf>
      <border diagonalUp="0" diagonalDown="0" outline="0">
        <left style="thin">
          <color auto="1"/>
        </left>
        <right style="thin">
          <color indexed="64"/>
        </right>
        <top style="medium">
          <color indexed="64"/>
        </top>
        <bottom style="medium">
          <color indexed="64"/>
        </bottom>
      </border>
    </dxf>
    <dxf>
      <border diagonalUp="0" diagonalDown="0" outline="0">
        <left style="thin">
          <color auto="1"/>
        </left>
        <right style="thin">
          <color indexed="64"/>
        </right>
        <top style="medium">
          <color indexed="64"/>
        </top>
        <bottom style="medium">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style="medium">
          <color indexed="64"/>
        </left>
        <right style="thin">
          <color auto="1"/>
        </right>
        <top style="medium">
          <color indexed="64"/>
        </top>
        <bottom style="medium">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border diagonalUp="0" diagonalDown="0">
        <left style="medium">
          <color indexed="64"/>
        </left>
        <right style="medium">
          <color indexed="64"/>
        </right>
        <top style="medium">
          <color indexed="64"/>
        </top>
        <bottom style="medium">
          <color indexed="64"/>
        </bottom>
        <vertical style="thin">
          <color auto="1"/>
        </vertical>
        <horizontal/>
      </border>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solid">
          <fgColor indexed="64"/>
          <bgColor theme="0"/>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_-&quot;$&quot;* #,##0.00_-;\-&quot;$&quot;* #,##0.00_-;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rgb="FFFF0000"/>
        <name val="Calibri"/>
        <scheme val="minor"/>
      </font>
      <numFmt numFmtId="34" formatCode="_(&quot;$&quot;* #,##0.00_);_(&quot;$&quot;* \(#,##0.00\);_(&quot;$&quot;* &quot;-&quot;??_);_(@_)"/>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border outline="0">
        <right style="thin">
          <color indexed="64"/>
        </right>
      </border>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border diagonalUp="0" diagonalDown="0">
        <left style="thin">
          <color indexed="64"/>
        </left>
        <right style="medium">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border diagonalUp="0" diagonalDown="0">
        <left style="thin">
          <color indexed="64"/>
        </left>
        <right style="medium">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medium">
          <color indexed="64"/>
        </left>
        <right/>
        <top/>
        <bottom style="medium">
          <color indexed="64"/>
        </bottom>
      </border>
    </dxf>
    <dxf>
      <border outline="0">
        <bottom style="thin">
          <color indexed="64"/>
        </bottom>
      </border>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0"/>
        <color auto="1"/>
        <name val="Humanst521 BT"/>
        <scheme val="none"/>
      </font>
      <fill>
        <patternFill patternType="none">
          <fgColor indexed="64"/>
          <bgColor indexed="65"/>
        </patternFill>
      </fill>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rgb="FFFF0000"/>
        <name val="Calibri"/>
        <scheme val="minor"/>
      </font>
      <numFmt numFmtId="34" formatCode="_(&quot;$&quot;* #,##0.00_);_(&quot;$&quot;* \(#,##0.00\);_(&quot;$&quot;* &quot;-&quot;??_);_(@_)"/>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border outline="0">
        <right style="thin">
          <color indexed="64"/>
        </right>
      </border>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border diagonalUp="0" diagonalDown="0">
        <left style="thin">
          <color indexed="64"/>
        </left>
        <right style="medium">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border diagonalUp="0" diagonalDown="0">
        <left style="thin">
          <color indexed="64"/>
        </left>
        <right style="medium">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style="medium">
          <color indexed="64"/>
        </right>
        <top/>
        <bottom style="medium">
          <color indexed="64"/>
        </bottom>
      </border>
    </dxf>
    <dxf>
      <font>
        <b val="0"/>
        <i val="0"/>
        <strike val="0"/>
        <condense val="0"/>
        <extend val="0"/>
        <outline val="0"/>
        <shadow val="0"/>
        <u val="none"/>
        <vertAlign val="baseline"/>
        <sz val="10"/>
        <color auto="1"/>
        <name val="Calibri"/>
        <scheme val="minor"/>
      </font>
      <numFmt numFmtId="34" formatCode="_(&quot;$&quot;* #,##0.00_);_(&quot;$&quot;* \(#,##0.00\);_(&quot;$&quot;* &quot;-&quot;??_);_(@_)"/>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2"/>
        <color auto="1"/>
        <name val="Calibri"/>
        <scheme val="minor"/>
      </font>
      <numFmt numFmtId="34" formatCode="_(&quot;$&quot;* #,##0.00_);_(&quot;$&quot;* \(#,##0.00\);_(&quot;$&quot;* &quot;-&quot;??_);_(@_)"/>
      <border diagonalUp="0" diagonalDown="0" outline="0">
        <left style="thin">
          <color indexed="64"/>
        </left>
        <right/>
        <top/>
        <bottom style="medium">
          <color indexed="64"/>
        </bottom>
      </border>
    </dxf>
    <dxf>
      <font>
        <b/>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medium">
          <color indexed="64"/>
        </left>
        <right/>
        <top/>
        <bottom style="medium">
          <color indexed="64"/>
        </bottom>
      </border>
    </dxf>
    <dxf>
      <border outline="0">
        <bottom style="thin">
          <color indexed="64"/>
        </bottom>
      </border>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0"/>
        <color auto="1"/>
        <name val="Humanst521 BT"/>
        <scheme val="none"/>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rgb="FFFF0000"/>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alignment horizontal="right" vertical="bottom" textRotation="0" wrapText="0" indent="0" justifyLastLine="0" shrinkToFit="0" readingOrder="0"/>
    </dxf>
    <dxf>
      <font>
        <b/>
        <i val="0"/>
        <strike val="0"/>
        <condense val="0"/>
        <extend val="0"/>
        <outline val="0"/>
        <shadow val="0"/>
        <u val="none"/>
        <vertAlign val="baseline"/>
        <sz val="10"/>
        <color theme="0"/>
        <name val="Arial"/>
        <scheme val="none"/>
      </font>
      <fill>
        <patternFill patternType="solid">
          <fgColor indexed="64"/>
          <bgColor theme="1"/>
        </patternFill>
      </fill>
      <border diagonalUp="0" diagonalDown="0" outline="0">
        <left style="thin">
          <color auto="1"/>
        </left>
        <right style="thin">
          <color auto="1"/>
        </right>
        <top/>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rgb="FFFF0000"/>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dxf>
    <dxf>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i val="0"/>
        <color theme="0"/>
      </font>
      <fill>
        <patternFill>
          <bgColor theme="0" tint="-0.499984740745262"/>
        </patternFill>
      </fill>
      <border>
        <left style="double">
          <color auto="1"/>
        </left>
        <right style="double">
          <color auto="1"/>
        </right>
        <top style="double">
          <color auto="1"/>
        </top>
        <bottom style="double">
          <color auto="1"/>
        </bottom>
        <vertical/>
        <horizontal/>
      </border>
    </dxf>
    <dxf>
      <fill>
        <patternFill>
          <bgColor theme="0" tint="-0.14996795556505021"/>
        </patternFill>
      </fill>
    </dxf>
    <dxf>
      <font>
        <b val="0"/>
        <i val="0"/>
        <u val="none"/>
        <color theme="0"/>
      </font>
    </dxf>
    <dxf>
      <font>
        <color theme="0"/>
      </font>
      <fill>
        <patternFill>
          <bgColor theme="1"/>
        </patternFill>
      </fill>
      <border diagonalUp="0" diagonalDown="0">
        <left style="medium">
          <color auto="1"/>
        </left>
        <right style="medium">
          <color auto="1"/>
        </right>
        <top style="medium">
          <color auto="1"/>
        </top>
        <bottom style="medium">
          <color auto="1"/>
        </bottom>
        <vertical style="medium">
          <color theme="0"/>
        </vertical>
        <horizontal style="medium">
          <color theme="0"/>
        </horizontal>
      </border>
    </dxf>
    <dxf>
      <font>
        <strike val="0"/>
        <u val="none"/>
        <color theme="0"/>
      </font>
      <fill>
        <patternFill>
          <bgColor theme="1" tint="0.499984740745262"/>
        </patternFill>
      </fill>
    </dxf>
    <dxf>
      <font>
        <b/>
        <i val="0"/>
      </font>
      <border diagonalUp="0" diagonalDown="0">
        <left style="medium">
          <color auto="1"/>
        </left>
        <right style="medium">
          <color auto="1"/>
        </right>
        <top style="medium">
          <color auto="1"/>
        </top>
        <bottom style="medium">
          <color auto="1"/>
        </bottom>
        <vertical/>
        <horizontal/>
      </border>
    </dxf>
    <dxf>
      <font>
        <b/>
        <i val="0"/>
        <color theme="0"/>
      </font>
      <fill>
        <patternFill>
          <bgColor theme="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2" defaultTableStyle="Feds Budget" defaultPivotStyle="PivotStyleLight16">
    <tableStyle name="Feds Budget" pivot="0" count="8" xr9:uid="{00000000-0011-0000-FFFF-FFFF00000000}">
      <tableStyleElement type="wholeTable" dxfId="2857"/>
      <tableStyleElement type="headerRow" dxfId="2856"/>
      <tableStyleElement type="totalRow" dxfId="2855"/>
      <tableStyleElement type="firstColumn" dxfId="2854"/>
      <tableStyleElement type="lastColumn" dxfId="2853"/>
      <tableStyleElement type="firstRowStripe" dxfId="2852"/>
      <tableStyleElement type="firstColumnStripe" dxfId="2851"/>
      <tableStyleElement type="lastTotalCell" dxfId="2850"/>
    </tableStyle>
    <tableStyle name="Table Style 1" pivot="0" count="0" xr9:uid="{00000000-0011-0000-FFFF-FFFF0100000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B121"/>
      <color rgb="FFFF7C80"/>
      <color rgb="FFFF505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'[1]VPOF Summary'!#REF!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'[1]VPOF Summary'!#REF!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'[1]VPOF Summary'!#REF!</c15:sqref>
                        </c15:formulaRef>
                      </c:ext>
                    </c:extLst>
                    <c:strCache>
                      <c:ptCount val="1"/>
                      <c:pt idx="0">
                        <c:v>#REF!</c:v>
                      </c:pt>
                    </c:strCache>
                  </c:strRef>
                </c15:cat>
              </c15:filteredCategoryTitle>
            </c:ext>
            <c:ext xmlns:c16="http://schemas.microsoft.com/office/drawing/2014/chart" uri="{C3380CC4-5D6E-409C-BE32-E72D297353CC}">
              <c16:uniqueId val="{00000000-A8BF-4E05-94ED-FC1D600C2BB3}"/>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'[1]VPOF Summary'!#REF!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'[1]VPOF Summary'!#REF!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'[1]VPOF Summary'!#REF!</c15:sqref>
                        </c15:formulaRef>
                      </c:ext>
                    </c:extLst>
                    <c:strCache>
                      <c:ptCount val="1"/>
                      <c:pt idx="0">
                        <c:v>#REF!</c:v>
                      </c:pt>
                    </c:strCache>
                  </c:strRef>
                </c15:cat>
              </c15:filteredCategoryTitle>
            </c:ext>
            <c:ext xmlns:c16="http://schemas.microsoft.com/office/drawing/2014/chart" uri="{C3380CC4-5D6E-409C-BE32-E72D297353CC}">
              <c16:uniqueId val="{00000001-A8BF-4E05-94ED-FC1D600C2BB3}"/>
            </c:ext>
          </c:extLst>
        </c:ser>
        <c:dLbls>
          <c:showLegendKey val="0"/>
          <c:showVal val="0"/>
          <c:showCatName val="0"/>
          <c:showSerName val="0"/>
          <c:showPercent val="0"/>
          <c:showBubbleSize val="0"/>
        </c:dLbls>
        <c:marker val="1"/>
        <c:smooth val="0"/>
        <c:axId val="128628224"/>
        <c:axId val="128630144"/>
      </c:lineChart>
      <c:catAx>
        <c:axId val="12862822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28630144"/>
        <c:crosses val="autoZero"/>
        <c:auto val="1"/>
        <c:lblAlgn val="ctr"/>
        <c:lblOffset val="100"/>
        <c:tickLblSkip val="5"/>
        <c:tickMarkSkip val="1"/>
        <c:noMultiLvlLbl val="0"/>
      </c:catAx>
      <c:valAx>
        <c:axId val="1286301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2862822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0</xdr:rowOff>
    </xdr:from>
    <xdr:to>
      <xdr:col>0</xdr:col>
      <xdr:colOff>0</xdr:colOff>
      <xdr:row>68</xdr:row>
      <xdr:rowOff>133350</xdr:rowOff>
    </xdr:to>
    <xdr:graphicFrame macro="">
      <xdr:nvGraphicFramePr>
        <xdr:cNvPr id="2597903" name="Chart 3">
          <a:extLst>
            <a:ext uri="{FF2B5EF4-FFF2-40B4-BE49-F238E27FC236}">
              <a16:creationId xmlns:a16="http://schemas.microsoft.com/office/drawing/2014/main" id="{00000000-0008-0000-2400-00000FA4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POF%20Summ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POF Summary"/>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00000000}" name="SummaryRevenues105" displayName="SummaryRevenues105" ref="A4:D9" totalsRowCount="1" headerRowDxfId="2849">
  <tableColumns count="4">
    <tableColumn id="1" xr3:uid="{00000000-0010-0000-0000-000001000000}" name="Gross Profit (Loss) by Portfolio" totalsRowLabel="Total" dataDxfId="2847" totalsRowDxfId="2848"/>
    <tableColumn id="10" xr3:uid="{00000000-0010-0000-0000-00000A000000}" name="Budget 18/19" totalsRowFunction="sum" dataDxfId="2845" totalsRowDxfId="2846" dataCellStyle="Currency 2">
      <calculatedColumnFormula>PresidentSummary70[[#Totals],[Budget 18/19]]</calculatedColumnFormula>
    </tableColumn>
    <tableColumn id="11" xr3:uid="{00000000-0010-0000-0000-00000B000000}" name="Actual 18/19" totalsRowFunction="sum" dataDxfId="2843" totalsRowDxfId="2844" dataCellStyle="Currency 2">
      <calculatedColumnFormula>PresidentSummary70[[#Totals],[Actual 18/19]]</calculatedColumnFormula>
    </tableColumn>
    <tableColumn id="12" xr3:uid="{00000000-0010-0000-0000-00000C000000}" name="Budget 19/20" totalsRowFunction="sum" dataDxfId="2841" totalsRowDxfId="2842" dataCellStyle="Currency 2">
      <calculatedColumnFormula>PresidentSummary70[[#Totals],[Budget 19/20]]</calculatedColumnFormula>
    </tableColumn>
  </tableColumns>
  <tableStyleInfo name="Feds Budget" showFirstColumn="0" showLastColumn="0" showRowStripes="0" showColumnStripes="1"/>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RPOExpenses" displayName="RPOExpenses" ref="B8:V20" totalsRowCount="1" headerRowDxfId="2560" dataDxfId="2559" dataCellStyle="Currency 2">
  <sortState xmlns:xlrd2="http://schemas.microsoft.com/office/spreadsheetml/2017/richdata2" ref="A9:O17">
    <sortCondition ref="A9:A17"/>
  </sortState>
  <tableColumns count="21">
    <tableColumn id="1" xr3:uid="{00000000-0010-0000-0900-000001000000}" name="Expenses" totalsRowLabel="Total" dataDxfId="2557" totalsRowDxfId="2558"/>
    <tableColumn id="2" xr3:uid="{00000000-0010-0000-0900-000002000000}" name="Budget 10/11" totalsRowFunction="sum" dataDxfId="2555" totalsRowDxfId="2556" dataCellStyle="Currency 2"/>
    <tableColumn id="3" xr3:uid="{00000000-0010-0000-0900-000003000000}" name="Actual 10/11" totalsRowFunction="sum" dataDxfId="2553" totalsRowDxfId="2554" dataCellStyle="Currency 2"/>
    <tableColumn id="4" xr3:uid="{00000000-0010-0000-0900-000004000000}" name="Budget 11/12" totalsRowFunction="sum" dataDxfId="2551" totalsRowDxfId="2552" dataCellStyle="Currency 2"/>
    <tableColumn id="5" xr3:uid="{00000000-0010-0000-0900-000005000000}" name="Actual 11/12" totalsRowFunction="sum" dataDxfId="2549" totalsRowDxfId="2550" dataCellStyle="Currency 2"/>
    <tableColumn id="6" xr3:uid="{00000000-0010-0000-0900-000006000000}" name="Budget 12/13" totalsRowFunction="sum" dataDxfId="2547" totalsRowDxfId="2548" dataCellStyle="Currency 2"/>
    <tableColumn id="7" xr3:uid="{00000000-0010-0000-0900-000007000000}" name="Actual 12/13" totalsRowFunction="sum" dataDxfId="2545" totalsRowDxfId="2546" dataCellStyle="Currency 2"/>
    <tableColumn id="8" xr3:uid="{00000000-0010-0000-0900-000008000000}" name="Budget 13/14" totalsRowFunction="sum" dataDxfId="2543" totalsRowDxfId="2544" dataCellStyle="Currency 2"/>
    <tableColumn id="9" xr3:uid="{00000000-0010-0000-0900-000009000000}" name="Actual 13/14" totalsRowFunction="sum" dataDxfId="2541" totalsRowDxfId="2542" dataCellStyle="Currency 2"/>
    <tableColumn id="10" xr3:uid="{00000000-0010-0000-0900-00000A000000}" name="Budget 14/15" totalsRowFunction="sum" dataDxfId="2539" totalsRowDxfId="2540" dataCellStyle="Currency 2"/>
    <tableColumn id="11" xr3:uid="{00000000-0010-0000-0900-00000B000000}" name="Actual 14/15" totalsRowFunction="sum" dataDxfId="2537" totalsRowDxfId="2538" dataCellStyle="Currency 2"/>
    <tableColumn id="12" xr3:uid="{00000000-0010-0000-0900-00000C000000}" name="Budget 15/16" totalsRowFunction="sum" dataDxfId="2535" totalsRowDxfId="2536" dataCellStyle="Currency 2"/>
    <tableColumn id="13" xr3:uid="{00000000-0010-0000-0900-00000D000000}" name="Actual 15/16" totalsRowFunction="sum" dataDxfId="2533" totalsRowDxfId="2534" dataCellStyle="Currency 2"/>
    <tableColumn id="14" xr3:uid="{00000000-0010-0000-0900-00000E000000}" name="Budget 16/17" totalsRowFunction="sum" dataDxfId="2531" totalsRowDxfId="2532" dataCellStyle="Currency 2"/>
    <tableColumn id="15" xr3:uid="{00000000-0010-0000-0900-00000F000000}" name="Actual 16/17" totalsRowFunction="sum" dataDxfId="2529" totalsRowDxfId="2530" dataCellStyle="Currency 2"/>
    <tableColumn id="16" xr3:uid="{00000000-0010-0000-0900-000010000000}" name="Budget 17/18" totalsRowFunction="sum" dataDxfId="2527" totalsRowDxfId="2528" dataCellStyle="Currency 2"/>
    <tableColumn id="17" xr3:uid="{00000000-0010-0000-0900-000011000000}" name="Actual 17/18" totalsRowFunction="sum" dataDxfId="2525" totalsRowDxfId="2526" dataCellStyle="Currency"/>
    <tableColumn id="18" xr3:uid="{00000000-0010-0000-0900-000012000000}" name="Budget 18/19" totalsRowFunction="custom" dataDxfId="2523" totalsRowDxfId="2524" dataCellStyle="Currency">
      <totalsRowFormula>SUM(RPOExpenses[Budget 18/19])</totalsRowFormula>
    </tableColumn>
    <tableColumn id="21" xr3:uid="{00000000-0010-0000-0900-000015000000}" name="Actual 18/19" totalsRowFunction="custom" dataDxfId="2521" totalsRowDxfId="2522" dataCellStyle="Currency">
      <totalsRowFormula>SUM(RPOExpenses[Actual 18/19])</totalsRowFormula>
    </tableColumn>
    <tableColumn id="19" xr3:uid="{00000000-0010-0000-0900-000013000000}" name="Budget 19/20" totalsRowFunction="custom" dataDxfId="2519" totalsRowDxfId="2520" dataCellStyle="Currency">
      <totalsRowFormula>SUM(RPOExpenses[Budget 19/20])</totalsRowFormula>
    </tableColumn>
    <tableColumn id="20" xr3:uid="{00000000-0010-0000-0900-000014000000}" name="Budget 19/21" dataDxfId="2517" totalsRowDxfId="2518" dataCellStyle="Currency"/>
  </tableColumns>
  <tableStyleInfo name="Feds Budget" showFirstColumn="0" showLastColumn="0" showRowStripes="0" showColumnStripes="1"/>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ElectionsRevenues" displayName="ElectionsRevenues" ref="B4:V6" totalsRowCount="1" headerRowDxfId="2516" dataDxfId="2515" dataCellStyle="Currency 2">
  <tableColumns count="21">
    <tableColumn id="1" xr3:uid="{00000000-0010-0000-0A00-000001000000}" name="Revenues" totalsRowLabel="Total" dataDxfId="2513" totalsRowDxfId="2514"/>
    <tableColumn id="2" xr3:uid="{00000000-0010-0000-0A00-000002000000}" name="Budget 10/11" totalsRowFunction="sum" dataDxfId="2511" totalsRowDxfId="2512" dataCellStyle="Currency 2"/>
    <tableColumn id="3" xr3:uid="{00000000-0010-0000-0A00-000003000000}" name="Actual 10/11" totalsRowFunction="sum" dataDxfId="2509" totalsRowDxfId="2510" dataCellStyle="Currency 2"/>
    <tableColumn id="4" xr3:uid="{00000000-0010-0000-0A00-000004000000}" name="Budget 11/12" totalsRowFunction="sum" dataDxfId="2507" totalsRowDxfId="2508" dataCellStyle="Currency 2"/>
    <tableColumn id="5" xr3:uid="{00000000-0010-0000-0A00-000005000000}" name="Actual 11/12" totalsRowFunction="sum" dataDxfId="2505" totalsRowDxfId="2506" dataCellStyle="Currency 2"/>
    <tableColumn id="6" xr3:uid="{00000000-0010-0000-0A00-000006000000}" name="Budget 12/13" totalsRowFunction="sum" dataDxfId="2503" totalsRowDxfId="2504" dataCellStyle="Currency 2"/>
    <tableColumn id="7" xr3:uid="{00000000-0010-0000-0A00-000007000000}" name="Actual 12/13" totalsRowFunction="sum" dataDxfId="2501" totalsRowDxfId="2502" dataCellStyle="Currency 2"/>
    <tableColumn id="8" xr3:uid="{00000000-0010-0000-0A00-000008000000}" name="Budget 13/14" totalsRowFunction="sum" dataDxfId="2499" totalsRowDxfId="2500" dataCellStyle="Currency 2"/>
    <tableColumn id="9" xr3:uid="{00000000-0010-0000-0A00-000009000000}" name="Actual 13/14" totalsRowFunction="sum" dataDxfId="2497" totalsRowDxfId="2498" dataCellStyle="Currency 2"/>
    <tableColumn id="10" xr3:uid="{00000000-0010-0000-0A00-00000A000000}" name="Budget 14/15" totalsRowFunction="sum" dataDxfId="2495" totalsRowDxfId="2496" dataCellStyle="Currency 2"/>
    <tableColumn id="11" xr3:uid="{00000000-0010-0000-0A00-00000B000000}" name="Actuals 14/15" totalsRowFunction="sum" dataDxfId="2493" totalsRowDxfId="2494" dataCellStyle="Currency 2"/>
    <tableColumn id="12" xr3:uid="{00000000-0010-0000-0A00-00000C000000}" name="Budget 15/16" totalsRowFunction="sum" dataDxfId="2491" totalsRowDxfId="2492" dataCellStyle="Currency 2"/>
    <tableColumn id="13" xr3:uid="{00000000-0010-0000-0A00-00000D000000}" name="Actual 15/16" totalsRowFunction="sum" dataDxfId="2489" totalsRowDxfId="2490" dataCellStyle="Currency 2"/>
    <tableColumn id="14" xr3:uid="{00000000-0010-0000-0A00-00000E000000}" name="Budget 16/17" totalsRowFunction="sum" dataDxfId="2487" totalsRowDxfId="2488" dataCellStyle="Currency 2"/>
    <tableColumn id="15" xr3:uid="{00000000-0010-0000-0A00-00000F000000}" name="Actual 16/17" totalsRowFunction="sum" dataDxfId="2485" totalsRowDxfId="2486" dataCellStyle="Currency 2"/>
    <tableColumn id="16" xr3:uid="{00000000-0010-0000-0A00-000010000000}" name="Budget 17/18" totalsRowFunction="sum" dataDxfId="2483" totalsRowDxfId="2484" dataCellStyle="Currency 2"/>
    <tableColumn id="17" xr3:uid="{00000000-0010-0000-0A00-000011000000}" name="Actual 17/18" totalsRowFunction="custom" dataDxfId="2481" totalsRowDxfId="2482" dataCellStyle="Currency 2">
      <totalsRowFormula>SUBTOTAL(109,ElectionsRevenues[Revenues])</totalsRowFormula>
    </tableColumn>
    <tableColumn id="18" xr3:uid="{00000000-0010-0000-0A00-000012000000}" name="Budget 18/19" totalsRowFunction="custom" dataDxfId="2479" totalsRowDxfId="2480" dataCellStyle="Currency 2">
      <totalsRowFormula>SUBTOTAL(109,ElectionsRevenues[Budget 10/11])</totalsRowFormula>
    </tableColumn>
    <tableColumn id="21" xr3:uid="{00000000-0010-0000-0A00-000015000000}" name="Actual 18/19" dataDxfId="2477" totalsRowDxfId="2478" dataCellStyle="Currency 2"/>
    <tableColumn id="19" xr3:uid="{00000000-0010-0000-0A00-000013000000}" name="Budget 19/20" totalsRowFunction="custom" dataDxfId="2475" totalsRowDxfId="2476" dataCellStyle="Currency 2">
      <totalsRowFormula>SUBTOTAL(109,ElectionsRevenues[Actual 10/11])</totalsRowFormula>
    </tableColumn>
    <tableColumn id="20" xr3:uid="{00000000-0010-0000-0A00-000014000000}" name="Budget 19/21" dataDxfId="2473" totalsRowDxfId="2474" dataCellStyle="Currency 2"/>
  </tableColumns>
  <tableStyleInfo name="Feds Budget" showFirstColumn="0" showLastColumn="0" showRowStripes="0" showColumnStripes="1"/>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B000000}" name="ElectionsExpenses" displayName="ElectionsExpenses" ref="B8:V23" totalsRowCount="1" headerRowDxfId="2472" dataDxfId="2471" dataCellStyle="Currency 2">
  <tableColumns count="21">
    <tableColumn id="1" xr3:uid="{00000000-0010-0000-0B00-000001000000}" name="Expenses" totalsRowLabel="Total" dataDxfId="2469" totalsRowDxfId="2470"/>
    <tableColumn id="2" xr3:uid="{00000000-0010-0000-0B00-000002000000}" name="Budget 10/11" totalsRowFunction="sum" dataDxfId="2467" totalsRowDxfId="2468" dataCellStyle="Currency 2"/>
    <tableColumn id="3" xr3:uid="{00000000-0010-0000-0B00-000003000000}" name="Actual 10/11" totalsRowFunction="sum" dataDxfId="2465" totalsRowDxfId="2466" dataCellStyle="Currency 2"/>
    <tableColumn id="4" xr3:uid="{00000000-0010-0000-0B00-000004000000}" name="Budget 11/12" totalsRowFunction="sum" dataDxfId="2463" totalsRowDxfId="2464" dataCellStyle="Currency 2"/>
    <tableColumn id="5" xr3:uid="{00000000-0010-0000-0B00-000005000000}" name="Actual 11/12" totalsRowFunction="sum" dataDxfId="2461" totalsRowDxfId="2462" dataCellStyle="Currency 2"/>
    <tableColumn id="6" xr3:uid="{00000000-0010-0000-0B00-000006000000}" name="Budget 12/13" totalsRowFunction="sum" dataDxfId="2459" totalsRowDxfId="2460" dataCellStyle="Currency 2"/>
    <tableColumn id="7" xr3:uid="{00000000-0010-0000-0B00-000007000000}" name="Actual 12/13" totalsRowFunction="sum" dataDxfId="2457" totalsRowDxfId="2458" dataCellStyle="Currency 2"/>
    <tableColumn id="8" xr3:uid="{00000000-0010-0000-0B00-000008000000}" name="Budget 13/14" totalsRowFunction="sum" dataDxfId="2455" totalsRowDxfId="2456" dataCellStyle="Currency 2"/>
    <tableColumn id="9" xr3:uid="{00000000-0010-0000-0B00-000009000000}" name="Actual 13/14" totalsRowFunction="sum" dataDxfId="2453" totalsRowDxfId="2454" dataCellStyle="Currency 2"/>
    <tableColumn id="10" xr3:uid="{00000000-0010-0000-0B00-00000A000000}" name="Budget 14/15" totalsRowFunction="sum" dataDxfId="2451" totalsRowDxfId="2452" dataCellStyle="Currency 2"/>
    <tableColumn id="11" xr3:uid="{00000000-0010-0000-0B00-00000B000000}" name="Actuals 14/15" totalsRowFunction="sum" dataDxfId="2449" totalsRowDxfId="2450" dataCellStyle="Currency 2"/>
    <tableColumn id="12" xr3:uid="{00000000-0010-0000-0B00-00000C000000}" name="Budget 15/16" totalsRowFunction="sum" dataDxfId="2447" totalsRowDxfId="2448" dataCellStyle="Currency 2"/>
    <tableColumn id="13" xr3:uid="{00000000-0010-0000-0B00-00000D000000}" name="Actual 15/16" totalsRowFunction="sum" dataDxfId="2445" totalsRowDxfId="2446" dataCellStyle="Currency 2"/>
    <tableColumn id="14" xr3:uid="{00000000-0010-0000-0B00-00000E000000}" name="Budget 16/17" totalsRowFunction="sum" dataDxfId="2443" totalsRowDxfId="2444" dataCellStyle="Currency 2"/>
    <tableColumn id="15" xr3:uid="{00000000-0010-0000-0B00-00000F000000}" name="Actual 16/17" totalsRowFunction="sum" dataDxfId="2441" totalsRowDxfId="2442" dataCellStyle="Currency 2"/>
    <tableColumn id="16" xr3:uid="{00000000-0010-0000-0B00-000010000000}" name="Budget 17/18" totalsRowFunction="sum" dataDxfId="2439" totalsRowDxfId="2440" dataCellStyle="Currency 2"/>
    <tableColumn id="17" xr3:uid="{00000000-0010-0000-0B00-000011000000}" name="Actual 17/18" totalsRowFunction="sum" dataDxfId="2437" totalsRowDxfId="2438" dataCellStyle="Currency"/>
    <tableColumn id="18" xr3:uid="{00000000-0010-0000-0B00-000012000000}" name="Budget 18/19" totalsRowFunction="custom" dataDxfId="2435" totalsRowDxfId="2436" dataCellStyle="Currency">
      <totalsRowFormula>SUM(ElectionsExpenses[Budget 18/19])</totalsRowFormula>
    </tableColumn>
    <tableColumn id="21" xr3:uid="{00000000-0010-0000-0B00-000015000000}" name="Actual 18/19" totalsRowFunction="custom" dataDxfId="2433" totalsRowDxfId="2434" dataCellStyle="Currency 2">
      <totalsRowFormula>SUM(ElectionsExpenses[Actual 18/19])</totalsRowFormula>
    </tableColumn>
    <tableColumn id="19" xr3:uid="{00000000-0010-0000-0B00-000013000000}" name="Budget 19/20" totalsRowFunction="custom" dataDxfId="2431" totalsRowDxfId="2432" dataCellStyle="Currency">
      <totalsRowFormula>SUM(ElectionsExpenses[Budget 19/20])</totalsRowFormula>
    </tableColumn>
    <tableColumn id="20" xr3:uid="{00000000-0010-0000-0B00-000014000000}" name="Budget 19/21" dataDxfId="2429" totalsRowDxfId="2430" dataCellStyle="Currency"/>
  </tableColumns>
  <tableStyleInfo name="Feds Budget" showFirstColumn="0" showLastColumn="0" showRowStripes="0" showColumnStripes="1"/>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C000000}" name="VPINSummary" displayName="VPINSummary" ref="A28:U49" totalsRowCount="1" headerRowDxfId="2428" dataDxfId="2427" totalsRowDxfId="2426" headerRowBorderDxfId="2425" totalsRowBorderDxfId="2424">
  <tableColumns count="21">
    <tableColumn id="1" xr3:uid="{00000000-0010-0000-0C00-000001000000}" name="Summary of Expenses" totalsRowLabel="Total" dataDxfId="2422" totalsRowDxfId="2423"/>
    <tableColumn id="2" xr3:uid="{00000000-0010-0000-0C00-000002000000}" name="Budget 10/11" totalsRowFunction="sum" dataDxfId="2420" totalsRowDxfId="2421" dataCellStyle="Currency"/>
    <tableColumn id="3" xr3:uid="{00000000-0010-0000-0C00-000003000000}" name="Actual 10/11" totalsRowFunction="sum" dataDxfId="2418" totalsRowDxfId="2419" dataCellStyle="Currency"/>
    <tableColumn id="4" xr3:uid="{00000000-0010-0000-0C00-000004000000}" name="Budget 11/12" totalsRowFunction="sum" dataDxfId="2416" totalsRowDxfId="2417" dataCellStyle="Currency"/>
    <tableColumn id="5" xr3:uid="{00000000-0010-0000-0C00-000005000000}" name="Actual 11/12" totalsRowFunction="sum" dataDxfId="2414" totalsRowDxfId="2415" dataCellStyle="Currency"/>
    <tableColumn id="6" xr3:uid="{00000000-0010-0000-0C00-000006000000}" name="Budget 12/13" totalsRowFunction="sum" dataDxfId="2412" totalsRowDxfId="2413" dataCellStyle="Currency"/>
    <tableColumn id="7" xr3:uid="{00000000-0010-0000-0C00-000007000000}" name="Actual 12/13" totalsRowFunction="sum" dataDxfId="2410" totalsRowDxfId="2411" dataCellStyle="Currency"/>
    <tableColumn id="8" xr3:uid="{00000000-0010-0000-0C00-000008000000}" name="Budget 13/14" totalsRowFunction="sum" dataDxfId="2408" totalsRowDxfId="2409" dataCellStyle="Currency"/>
    <tableColumn id="9" xr3:uid="{00000000-0010-0000-0C00-000009000000}" name="Actual 13/14" totalsRowFunction="sum" dataDxfId="2406" totalsRowDxfId="2407" dataCellStyle="Currency"/>
    <tableColumn id="10" xr3:uid="{00000000-0010-0000-0C00-00000A000000}" name="Budget 14/15" totalsRowFunction="sum" dataDxfId="2404" totalsRowDxfId="2405" dataCellStyle="Currency"/>
    <tableColumn id="11" xr3:uid="{00000000-0010-0000-0C00-00000B000000}" name="Actual 14/15" totalsRowFunction="sum" dataDxfId="2402" totalsRowDxfId="2403" dataCellStyle="Currency"/>
    <tableColumn id="12" xr3:uid="{00000000-0010-0000-0C00-00000C000000}" name="Budget 15/16" totalsRowFunction="sum" dataDxfId="2400" totalsRowDxfId="2401" dataCellStyle="Currency"/>
    <tableColumn id="13" xr3:uid="{00000000-0010-0000-0C00-00000D000000}" name="Actual 15/16" totalsRowFunction="sum" dataDxfId="2398" totalsRowDxfId="2399" dataCellStyle="Currency"/>
    <tableColumn id="14" xr3:uid="{00000000-0010-0000-0C00-00000E000000}" name="Budget 16/17" totalsRowFunction="sum" dataDxfId="2396" totalsRowDxfId="2397" dataCellStyle="Currency"/>
    <tableColumn id="15" xr3:uid="{00000000-0010-0000-0C00-00000F000000}" name="Actual 16/17" totalsRowFunction="sum" dataDxfId="2394" totalsRowDxfId="2395" dataCellStyle="Currency"/>
    <tableColumn id="16" xr3:uid="{00000000-0010-0000-0C00-000010000000}" name="Budget 17/18" totalsRowFunction="sum" dataDxfId="2392" totalsRowDxfId="2393" dataCellStyle="Currency"/>
    <tableColumn id="17" xr3:uid="{00000000-0010-0000-0C00-000011000000}" name="Actual 17/18" totalsRowFunction="sum" dataDxfId="2390" totalsRowDxfId="2391" dataCellStyle="Currency"/>
    <tableColumn id="18" xr3:uid="{00000000-0010-0000-0C00-000012000000}" name="Budget 18/19" totalsRowFunction="sum" dataDxfId="2388" totalsRowDxfId="2389" dataCellStyle="Currency"/>
    <tableColumn id="21" xr3:uid="{00000000-0010-0000-0C00-000015000000}" name="Actual 18/19" totalsRowFunction="sum" dataDxfId="2386" totalsRowDxfId="2387" dataCellStyle="Currency"/>
    <tableColumn id="19" xr3:uid="{00000000-0010-0000-0C00-000013000000}" name="Budget 19/20" totalsRowFunction="sum" dataDxfId="2384" totalsRowDxfId="2385" dataCellStyle="Currency"/>
    <tableColumn id="20" xr3:uid="{00000000-0010-0000-0C00-000014000000}" name="Budget 19/21" dataDxfId="2382" totalsRowDxfId="2383" dataCellStyle="Currency"/>
  </tableColumns>
  <tableStyleInfo name="Feds Budget" showFirstColumn="0" showLastColumn="0" showRowStripes="0" showColumnStripes="1"/>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D000000}" name="VPINSummary71" displayName="VPINSummary71" ref="A4:U26" totalsRowCount="1" headerRowDxfId="2381" dataDxfId="2380" totalsRowDxfId="2379" headerRowBorderDxfId="2378" totalsRowBorderDxfId="2377">
  <tableColumns count="21">
    <tableColumn id="1" xr3:uid="{00000000-0010-0000-0D00-000001000000}" name="Summary of Revenues/Gross Income" totalsRowLabel="Total" dataDxfId="2375" totalsRowDxfId="2376"/>
    <tableColumn id="2" xr3:uid="{00000000-0010-0000-0D00-000002000000}" name="Budget 10/11" dataDxfId="2373" totalsRowDxfId="2374" dataCellStyle="Currency"/>
    <tableColumn id="3" xr3:uid="{00000000-0010-0000-0D00-000003000000}" name="Actual 10/11" dataDxfId="2371" totalsRowDxfId="2372" dataCellStyle="Currency"/>
    <tableColumn id="4" xr3:uid="{00000000-0010-0000-0D00-000004000000}" name="Budget 11/12" dataDxfId="2369" totalsRowDxfId="2370" dataCellStyle="Currency"/>
    <tableColumn id="5" xr3:uid="{00000000-0010-0000-0D00-000005000000}" name="Actual 11/12" dataDxfId="2367" totalsRowDxfId="2368" dataCellStyle="Currency"/>
    <tableColumn id="6" xr3:uid="{00000000-0010-0000-0D00-000006000000}" name="Budget 12/13" dataDxfId="2365" totalsRowDxfId="2366" dataCellStyle="Currency"/>
    <tableColumn id="7" xr3:uid="{00000000-0010-0000-0D00-000007000000}" name="Actual 12/13" dataDxfId="2363" totalsRowDxfId="2364" dataCellStyle="Currency"/>
    <tableColumn id="8" xr3:uid="{00000000-0010-0000-0D00-000008000000}" name="Budget 13/14" dataDxfId="2361" totalsRowDxfId="2362" dataCellStyle="Currency"/>
    <tableColumn id="9" xr3:uid="{00000000-0010-0000-0D00-000009000000}" name="Actual 13/14" dataDxfId="2359" totalsRowDxfId="2360" dataCellStyle="Currency"/>
    <tableColumn id="10" xr3:uid="{00000000-0010-0000-0D00-00000A000000}" name="Budget 14/15" dataDxfId="2357" totalsRowDxfId="2358" dataCellStyle="Currency"/>
    <tableColumn id="11" xr3:uid="{00000000-0010-0000-0D00-00000B000000}" name="Actual 14/15" dataDxfId="2355" totalsRowDxfId="2356" dataCellStyle="Currency"/>
    <tableColumn id="12" xr3:uid="{00000000-0010-0000-0D00-00000C000000}" name="Budget 15/16" dataDxfId="2353" totalsRowDxfId="2354" dataCellStyle="Currency"/>
    <tableColumn id="13" xr3:uid="{00000000-0010-0000-0D00-00000D000000}" name="Actual 15/16" dataDxfId="2351" totalsRowDxfId="2352" dataCellStyle="Currency"/>
    <tableColumn id="14" xr3:uid="{00000000-0010-0000-0D00-00000E000000}" name="Budget 16/17" dataDxfId="2349" totalsRowDxfId="2350" dataCellStyle="Currency"/>
    <tableColumn id="15" xr3:uid="{00000000-0010-0000-0D00-00000F000000}" name="Actual 16/17" dataDxfId="2347" totalsRowDxfId="2348" dataCellStyle="Currency"/>
    <tableColumn id="16" xr3:uid="{00000000-0010-0000-0D00-000010000000}" name="Budget 17/18" dataDxfId="2345" totalsRowDxfId="2346" dataCellStyle="Currency"/>
    <tableColumn id="17" xr3:uid="{00000000-0010-0000-0D00-000011000000}" name="Actual 17/18" dataDxfId="2343" totalsRowDxfId="2344" dataCellStyle="Currency"/>
    <tableColumn id="18" xr3:uid="{00000000-0010-0000-0D00-000012000000}" name="Budget 18/19" totalsRowFunction="sum" dataDxfId="2341" totalsRowDxfId="2342" dataCellStyle="Currency"/>
    <tableColumn id="21" xr3:uid="{00000000-0010-0000-0D00-000015000000}" name="Actual 18/19" totalsRowFunction="sum" dataDxfId="2339" totalsRowDxfId="2340" dataCellStyle="Currency"/>
    <tableColumn id="19" xr3:uid="{00000000-0010-0000-0D00-000013000000}" name="Budget 19/20" totalsRowFunction="sum" dataDxfId="2337" totalsRowDxfId="2338" dataCellStyle="Currency"/>
    <tableColumn id="20" xr3:uid="{00000000-0010-0000-0D00-000014000000}" name="Budget 19/21" dataDxfId="2335" totalsRowDxfId="2336" dataCellStyle="Currency"/>
  </tableColumns>
  <tableStyleInfo name="Feds Budget" showFirstColumn="0" showLastColumn="0" showRowStripes="0" showColumnStripes="1"/>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E000000}" name="VPINRevenues" displayName="VPINRevenues" ref="B4:V6" totalsRowCount="1" headerRowDxfId="2334" dataDxfId="2333" totalsRowDxfId="2332" totalsRowBorderDxfId="2331">
  <tableColumns count="21">
    <tableColumn id="1" xr3:uid="{00000000-0010-0000-0E00-000001000000}" name="Revenues" totalsRowLabel="Total" dataDxfId="2329" totalsRowDxfId="2330"/>
    <tableColumn id="2" xr3:uid="{00000000-0010-0000-0E00-000002000000}" name="Budget 10/11" totalsRowFunction="sum" dataDxfId="2327" totalsRowDxfId="2328"/>
    <tableColumn id="3" xr3:uid="{00000000-0010-0000-0E00-000003000000}" name="Actual 10/11" totalsRowFunction="sum" dataDxfId="2325" totalsRowDxfId="2326"/>
    <tableColumn id="4" xr3:uid="{00000000-0010-0000-0E00-000004000000}" name="Budget 11/12" totalsRowFunction="sum" dataDxfId="2323" totalsRowDxfId="2324"/>
    <tableColumn id="5" xr3:uid="{00000000-0010-0000-0E00-000005000000}" name="Actual 11/12" totalsRowFunction="sum" dataDxfId="2321" totalsRowDxfId="2322"/>
    <tableColumn id="6" xr3:uid="{00000000-0010-0000-0E00-000006000000}" name="Budget 12/13" totalsRowFunction="sum" dataDxfId="2319" totalsRowDxfId="2320"/>
    <tableColumn id="8" xr3:uid="{00000000-0010-0000-0E00-000008000000}" name="Actual 12/13" totalsRowFunction="sum" dataDxfId="2317" totalsRowDxfId="2318"/>
    <tableColumn id="7" xr3:uid="{00000000-0010-0000-0E00-000007000000}" name="Budget 13/14" totalsRowFunction="sum" dataDxfId="2315" totalsRowDxfId="2316"/>
    <tableColumn id="9" xr3:uid="{00000000-0010-0000-0E00-000009000000}" name="Actual 13/14" totalsRowFunction="sum" dataDxfId="2313" totalsRowDxfId="2314"/>
    <tableColumn id="10" xr3:uid="{00000000-0010-0000-0E00-00000A000000}" name="Budget 14/15" totalsRowFunction="sum" dataDxfId="2311" totalsRowDxfId="2312"/>
    <tableColumn id="11" xr3:uid="{00000000-0010-0000-0E00-00000B000000}" name="Actual 14/15" totalsRowFunction="sum" dataDxfId="2309" totalsRowDxfId="2310"/>
    <tableColumn id="12" xr3:uid="{00000000-0010-0000-0E00-00000C000000}" name="Budget 15/16" totalsRowFunction="sum" dataDxfId="2307" totalsRowDxfId="2308"/>
    <tableColumn id="13" xr3:uid="{00000000-0010-0000-0E00-00000D000000}" name="Actual 15/16" totalsRowFunction="sum" dataDxfId="2305" totalsRowDxfId="2306"/>
    <tableColumn id="14" xr3:uid="{00000000-0010-0000-0E00-00000E000000}" name="Budget 16/17" totalsRowFunction="sum" dataDxfId="2303" totalsRowDxfId="2304"/>
    <tableColumn id="15" xr3:uid="{00000000-0010-0000-0E00-00000F000000}" name="Actual 16/17" dataDxfId="2301" totalsRowDxfId="2302"/>
    <tableColumn id="16" xr3:uid="{00000000-0010-0000-0E00-000010000000}" name="Budget 17/18" dataDxfId="2299" totalsRowDxfId="2300"/>
    <tableColumn id="17" xr3:uid="{00000000-0010-0000-0E00-000011000000}" name="Actual 17/18" dataDxfId="2297" totalsRowDxfId="2298"/>
    <tableColumn id="18" xr3:uid="{00000000-0010-0000-0E00-000012000000}" name="Budget 18/19" dataDxfId="2295" totalsRowDxfId="2296"/>
    <tableColumn id="21" xr3:uid="{00000000-0010-0000-0E00-000015000000}" name="Actual 18/19" dataDxfId="2293" totalsRowDxfId="2294"/>
    <tableColumn id="19" xr3:uid="{00000000-0010-0000-0E00-000013000000}" name="Budget 19/20" dataDxfId="2291" totalsRowDxfId="2292"/>
    <tableColumn id="20" xr3:uid="{00000000-0010-0000-0E00-000014000000}" name="Budget 19/21" dataDxfId="2289" totalsRowDxfId="2290"/>
  </tableColumns>
  <tableStyleInfo name="Feds Budget" showFirstColumn="0" showLastColumn="0" showRowStripes="0" showColumnStripes="1"/>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F000000}" name="VPINExpenses" displayName="VPINExpenses" ref="B8:V33" totalsRowCount="1" headerRowDxfId="2288" dataDxfId="2287" dataCellStyle="Currency">
  <sortState xmlns:xlrd2="http://schemas.microsoft.com/office/spreadsheetml/2017/richdata2" ref="A9:O32">
    <sortCondition ref="A8"/>
  </sortState>
  <tableColumns count="21">
    <tableColumn id="1" xr3:uid="{00000000-0010-0000-0F00-000001000000}" name="Expenses" totalsRowLabel="Total" dataDxfId="2285" totalsRowDxfId="2286"/>
    <tableColumn id="2" xr3:uid="{00000000-0010-0000-0F00-000002000000}" name="Budget 10/11" totalsRowFunction="sum" dataDxfId="2283" totalsRowDxfId="2284" dataCellStyle="Currency"/>
    <tableColumn id="3" xr3:uid="{00000000-0010-0000-0F00-000003000000}" name="Actual 10/11" totalsRowFunction="sum" dataDxfId="2281" totalsRowDxfId="2282" dataCellStyle="Currency"/>
    <tableColumn id="4" xr3:uid="{00000000-0010-0000-0F00-000004000000}" name="Budget 11/12" totalsRowFunction="sum" dataDxfId="2279" totalsRowDxfId="2280" dataCellStyle="Currency"/>
    <tableColumn id="5" xr3:uid="{00000000-0010-0000-0F00-000005000000}" name="Actual 11/12" totalsRowFunction="sum" dataDxfId="2277" totalsRowDxfId="2278" dataCellStyle="Currency"/>
    <tableColumn id="6" xr3:uid="{00000000-0010-0000-0F00-000006000000}" name="Budget 12/13" totalsRowFunction="sum" dataDxfId="2275" totalsRowDxfId="2276" dataCellStyle="Currency"/>
    <tableColumn id="7" xr3:uid="{00000000-0010-0000-0F00-000007000000}" name="Actual 12/13" totalsRowFunction="sum" dataDxfId="2273" totalsRowDxfId="2274" dataCellStyle="Currency"/>
    <tableColumn id="8" xr3:uid="{00000000-0010-0000-0F00-000008000000}" name="Budget 13/14" totalsRowFunction="sum" dataDxfId="2271" totalsRowDxfId="2272" dataCellStyle="Currency"/>
    <tableColumn id="9" xr3:uid="{00000000-0010-0000-0F00-000009000000}" name="Actual 13/14" totalsRowFunction="sum" dataDxfId="2269" totalsRowDxfId="2270" dataCellStyle="Currency"/>
    <tableColumn id="10" xr3:uid="{00000000-0010-0000-0F00-00000A000000}" name="Budget 14/15" totalsRowFunction="sum" dataDxfId="2267" totalsRowDxfId="2268" dataCellStyle="Currency"/>
    <tableColumn id="11" xr3:uid="{00000000-0010-0000-0F00-00000B000000}" name="Actual 14/15" totalsRowFunction="sum" dataDxfId="2265" totalsRowDxfId="2266" dataCellStyle="Currency"/>
    <tableColumn id="12" xr3:uid="{00000000-0010-0000-0F00-00000C000000}" name="Budget 15/16" totalsRowFunction="sum" dataDxfId="2263" totalsRowDxfId="2264" dataCellStyle="Currency"/>
    <tableColumn id="13" xr3:uid="{00000000-0010-0000-0F00-00000D000000}" name="Actual 15/16" totalsRowFunction="sum" dataDxfId="2261" totalsRowDxfId="2262" dataCellStyle="Currency"/>
    <tableColumn id="14" xr3:uid="{00000000-0010-0000-0F00-00000E000000}" name="Budget 16/17" totalsRowFunction="sum" dataDxfId="2259" totalsRowDxfId="2260" dataCellStyle="Currency"/>
    <tableColumn id="15" xr3:uid="{00000000-0010-0000-0F00-00000F000000}" name="Actual 16/17" totalsRowFunction="sum" dataDxfId="2257" totalsRowDxfId="2258" dataCellStyle="Currency"/>
    <tableColumn id="16" xr3:uid="{00000000-0010-0000-0F00-000010000000}" name="Budget 17/18" totalsRowFunction="sum" dataDxfId="2255" totalsRowDxfId="2256" dataCellStyle="Currency"/>
    <tableColumn id="17" xr3:uid="{00000000-0010-0000-0F00-000011000000}" name="Actual 17/18" totalsRowFunction="custom" dataDxfId="2253" totalsRowDxfId="2254" dataCellStyle="Currency">
      <totalsRowFormula>SUM(VPINExpenses[Actual 17/18])</totalsRowFormula>
    </tableColumn>
    <tableColumn id="18" xr3:uid="{00000000-0010-0000-0F00-000012000000}" name="Budget 18/19" totalsRowFunction="custom" dataDxfId="2251" totalsRowDxfId="2252" dataCellStyle="Currency">
      <totalsRowFormula>SUM(VPINExpenses[Budget 18/19]) - S22</totalsRowFormula>
    </tableColumn>
    <tableColumn id="21" xr3:uid="{00000000-0010-0000-0F00-000015000000}" name="Actual 18/19" totalsRowFunction="custom" dataDxfId="2249" totalsRowDxfId="2250" dataCellStyle="Currency">
      <totalsRowFormula>SUM(VPINExpenses[Actual 18/19]) - T22</totalsRowFormula>
    </tableColumn>
    <tableColumn id="19" xr3:uid="{00000000-0010-0000-0F00-000013000000}" name="Budget 19/20" totalsRowFunction="custom" dataDxfId="2247" totalsRowDxfId="2248" dataCellStyle="Currency">
      <totalsRowFormula>SUM(VPINExpenses[Budget 19/20])</totalsRowFormula>
    </tableColumn>
    <tableColumn id="20" xr3:uid="{00000000-0010-0000-0F00-000014000000}" name="Budget 19/21" dataDxfId="2245" totalsRowDxfId="2246" dataCellStyle="Currency"/>
  </tableColumns>
  <tableStyleInfo name="Feds Budget" showFirstColumn="0" showLastColumn="0" showRowStripes="0" showColumnStripes="1"/>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10000000}" name="OrientationRevenues64" displayName="OrientationRevenues64" ref="B4:V6" totalsRowCount="1" headerRowDxfId="2244" dataDxfId="2243" headerRowCellStyle="Comma">
  <tableColumns count="21">
    <tableColumn id="1" xr3:uid="{00000000-0010-0000-1000-000001000000}" name="Revenues" totalsRowLabel="Total" dataDxfId="2241" totalsRowDxfId="2242" dataCellStyle="Normal 2 14"/>
    <tableColumn id="2" xr3:uid="{00000000-0010-0000-1000-000002000000}" name="Budget 10/11" totalsRowFunction="sum" dataDxfId="2239" totalsRowDxfId="2240" dataCellStyle="Normal 2 14"/>
    <tableColumn id="3" xr3:uid="{00000000-0010-0000-1000-000003000000}" name="Actual 10/11" totalsRowFunction="sum" dataDxfId="2237" totalsRowDxfId="2238" dataCellStyle="Normal 2 14"/>
    <tableColumn id="4" xr3:uid="{00000000-0010-0000-1000-000004000000}" name="Budget 11/12" totalsRowFunction="sum" dataDxfId="2235" totalsRowDxfId="2236" dataCellStyle="Normal 2 14"/>
    <tableColumn id="5" xr3:uid="{00000000-0010-0000-1000-000005000000}" name="Actual 11/12" totalsRowFunction="sum" dataDxfId="2233" totalsRowDxfId="2234" dataCellStyle="Normal 2 14"/>
    <tableColumn id="6" xr3:uid="{00000000-0010-0000-1000-000006000000}" name="Budget 12/13" totalsRowFunction="sum" dataDxfId="2231" totalsRowDxfId="2232" dataCellStyle="Normal 2 14"/>
    <tableColumn id="7" xr3:uid="{00000000-0010-0000-1000-000007000000}" name="Actual 12/13" totalsRowFunction="sum" dataDxfId="2229" totalsRowDxfId="2230" dataCellStyle="Normal 2 14"/>
    <tableColumn id="8" xr3:uid="{00000000-0010-0000-1000-000008000000}" name="Budget 13/14" totalsRowFunction="sum" dataDxfId="2227" totalsRowDxfId="2228" dataCellStyle="Normal 2 14"/>
    <tableColumn id="9" xr3:uid="{00000000-0010-0000-1000-000009000000}" name="Actual 13/14" totalsRowFunction="sum" dataDxfId="2225" totalsRowDxfId="2226" dataCellStyle="Normal 2 14"/>
    <tableColumn id="10" xr3:uid="{00000000-0010-0000-1000-00000A000000}" name="Budget 14/15" totalsRowFunction="sum" dataDxfId="2223" totalsRowDxfId="2224" dataCellStyle="Normal 2 14"/>
    <tableColumn id="11" xr3:uid="{00000000-0010-0000-1000-00000B000000}" name="Actuals 14/15" totalsRowFunction="sum" dataDxfId="2221" totalsRowDxfId="2222" dataCellStyle="Normal 2 14"/>
    <tableColumn id="12" xr3:uid="{00000000-0010-0000-1000-00000C000000}" name="Budget 15/16" totalsRowFunction="sum" dataDxfId="2219" totalsRowDxfId="2220" dataCellStyle="Normal 2 14"/>
    <tableColumn id="13" xr3:uid="{00000000-0010-0000-1000-00000D000000}" name="Actuals 15/16" totalsRowFunction="sum" dataDxfId="2217" totalsRowDxfId="2218" dataCellStyle="Normal 2 14"/>
    <tableColumn id="14" xr3:uid="{00000000-0010-0000-1000-00000E000000}" name="Budget 16/17" totalsRowFunction="sum" dataDxfId="2215" totalsRowDxfId="2216" dataCellStyle="Normal 2 14"/>
    <tableColumn id="15" xr3:uid="{00000000-0010-0000-1000-00000F000000}" name="Actual 16/17" dataDxfId="2213" totalsRowDxfId="2214" dataCellStyle="Normal 2 14"/>
    <tableColumn id="16" xr3:uid="{00000000-0010-0000-1000-000010000000}" name="Budget 17/18" dataDxfId="2211" totalsRowDxfId="2212" dataCellStyle="Normal 2 14"/>
    <tableColumn id="17" xr3:uid="{00000000-0010-0000-1000-000011000000}" name="Actual 17/18" totalsRowFunction="sum" dataDxfId="2209" totalsRowDxfId="2210" dataCellStyle="Normal 2 14"/>
    <tableColumn id="18" xr3:uid="{00000000-0010-0000-1000-000012000000}" name="Budget 18/19" totalsRowFunction="custom" dataDxfId="2207" totalsRowDxfId="2208" dataCellStyle="Normal 2 14">
      <totalsRowFormula>SUBTOTAL(109,OrientationRevenues64[Revenues])</totalsRowFormula>
    </tableColumn>
    <tableColumn id="21" xr3:uid="{00000000-0010-0000-1000-000015000000}" name="Actual 18/19" dataDxfId="2205" totalsRowDxfId="2206" dataCellStyle="Normal 2 14"/>
    <tableColumn id="19" xr3:uid="{00000000-0010-0000-1000-000013000000}" name="Budget 19/20" totalsRowFunction="custom" dataDxfId="2203" totalsRowDxfId="2204" dataCellStyle="Normal 2 14">
      <totalsRowFormula>SUBTOTAL(109,OrientationRevenues64[Budget 10/11])</totalsRowFormula>
    </tableColumn>
    <tableColumn id="20" xr3:uid="{00000000-0010-0000-1000-000014000000}" name="Budget 19/21" dataDxfId="2201" totalsRowDxfId="2202" dataCellStyle="Normal 2 14"/>
  </tableColumns>
  <tableStyleInfo name="Feds Budget" showFirstColumn="0" showLastColumn="0" showRowStripes="0" showColumnStripes="1"/>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11000000}" name="OrientationExpenses65" displayName="OrientationExpenses65" ref="B8:V23" totalsRowCount="1" headerRowDxfId="2200" dataDxfId="2199" dataCellStyle="Comma">
  <tableColumns count="21">
    <tableColumn id="1" xr3:uid="{00000000-0010-0000-1100-000001000000}" name="Expenses" totalsRowLabel="Total" dataDxfId="2197" totalsRowDxfId="2198"/>
    <tableColumn id="2" xr3:uid="{00000000-0010-0000-1100-000002000000}" name="Budget 10/11" totalsRowFunction="sum" dataDxfId="2195" totalsRowDxfId="2196" dataCellStyle="Comma"/>
    <tableColumn id="3" xr3:uid="{00000000-0010-0000-1100-000003000000}" name="Actual 10/11" totalsRowFunction="sum" dataDxfId="2193" totalsRowDxfId="2194" dataCellStyle="Comma"/>
    <tableColumn id="4" xr3:uid="{00000000-0010-0000-1100-000004000000}" name="Budget 11/12" totalsRowFunction="sum" dataDxfId="2191" totalsRowDxfId="2192" dataCellStyle="Comma"/>
    <tableColumn id="5" xr3:uid="{00000000-0010-0000-1100-000005000000}" name="Actual 11/12" totalsRowFunction="sum" dataDxfId="2189" totalsRowDxfId="2190" dataCellStyle="Comma"/>
    <tableColumn id="6" xr3:uid="{00000000-0010-0000-1100-000006000000}" name="Budget 12/13" totalsRowFunction="sum" dataDxfId="2187" totalsRowDxfId="2188" dataCellStyle="Comma"/>
    <tableColumn id="7" xr3:uid="{00000000-0010-0000-1100-000007000000}" name="Actual 12/13" totalsRowFunction="sum" dataDxfId="2185" totalsRowDxfId="2186" dataCellStyle="Comma"/>
    <tableColumn id="8" xr3:uid="{00000000-0010-0000-1100-000008000000}" name="Budget 13/14" totalsRowFunction="sum" dataDxfId="2183" totalsRowDxfId="2184" dataCellStyle="Comma"/>
    <tableColumn id="9" xr3:uid="{00000000-0010-0000-1100-000009000000}" name="Actual 13/14" totalsRowFunction="sum" dataDxfId="2181" totalsRowDxfId="2182" dataCellStyle="Comma"/>
    <tableColumn id="10" xr3:uid="{00000000-0010-0000-1100-00000A000000}" name="Budget 14/15" totalsRowFunction="sum" dataDxfId="2179" totalsRowDxfId="2180" dataCellStyle="Comma"/>
    <tableColumn id="11" xr3:uid="{00000000-0010-0000-1100-00000B000000}" name="Actuals 14/15" totalsRowFunction="sum" dataDxfId="2177" totalsRowDxfId="2178" dataCellStyle="Comma"/>
    <tableColumn id="12" xr3:uid="{00000000-0010-0000-1100-00000C000000}" name="Budget 15/16" totalsRowFunction="sum" dataDxfId="2175" totalsRowDxfId="2176" dataCellStyle="Comma"/>
    <tableColumn id="13" xr3:uid="{00000000-0010-0000-1100-00000D000000}" name="Actuals 15/16" totalsRowFunction="sum" dataDxfId="2173" totalsRowDxfId="2174" dataCellStyle="Comma"/>
    <tableColumn id="14" xr3:uid="{00000000-0010-0000-1100-00000E000000}" name="Budget 16/17" totalsRowFunction="sum" dataDxfId="2171" totalsRowDxfId="2172" dataCellStyle="Comma"/>
    <tableColumn id="15" xr3:uid="{00000000-0010-0000-1100-00000F000000}" name="Actual 16/17" totalsRowFunction="sum" dataDxfId="2169" totalsRowDxfId="2170" dataCellStyle="Comma"/>
    <tableColumn id="16" xr3:uid="{00000000-0010-0000-1100-000010000000}" name="Budget 17/18" totalsRowFunction="sum" dataDxfId="2167" totalsRowDxfId="2168" dataCellStyle="Comma"/>
    <tableColumn id="17" xr3:uid="{00000000-0010-0000-1100-000011000000}" name="Actual 17/18" totalsRowFunction="sum" dataDxfId="2165" totalsRowDxfId="2166" dataCellStyle="Comma"/>
    <tableColumn id="18" xr3:uid="{00000000-0010-0000-1100-000012000000}" name="Budget 18/19" totalsRowFunction="custom" dataDxfId="2163" totalsRowDxfId="2164" dataCellStyle="Currency">
      <totalsRowFormula>SUM(OrientationExpenses65[Budget 18/19])</totalsRowFormula>
    </tableColumn>
    <tableColumn id="21" xr3:uid="{00000000-0010-0000-1100-000015000000}" name="Actual 18/19" totalsRowFunction="custom" dataDxfId="2161" totalsRowDxfId="2162" dataCellStyle="Comma 2 2">
      <totalsRowFormula>SUM(OrientationExpenses65[Actual 18/19])</totalsRowFormula>
    </tableColumn>
    <tableColumn id="19" xr3:uid="{00000000-0010-0000-1100-000013000000}" name="Budget 19/20" totalsRowFunction="custom" dataDxfId="2159" totalsRowDxfId="2160" dataCellStyle="Comma">
      <totalsRowFormula>SUM(U9:U20)</totalsRowFormula>
    </tableColumn>
    <tableColumn id="20" xr3:uid="{00000000-0010-0000-1100-000014000000}" name="Budget 19/21" dataDxfId="2157" totalsRowDxfId="2158" dataCellStyle="Currency 2 2 2"/>
  </tableColumns>
  <tableStyleInfo name="Feds Budget" showFirstColumn="0" showLastColumn="0" showRowStripes="0" showColumnStripes="1"/>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2000000}" name="SocietyRelationsExpenses" displayName="SocietyRelationsExpenses" ref="B8:H15" totalsRowCount="1" headerRowDxfId="2156" dataDxfId="2155" totalsRowDxfId="2154" tableBorderDxfId="2153">
  <tableColumns count="7">
    <tableColumn id="1" xr3:uid="{00000000-0010-0000-1200-000001000000}" name="Expenses" totalsRowLabel="Total" dataDxfId="2151" totalsRowDxfId="2152" dataCellStyle="Normal 2 2"/>
    <tableColumn id="2" xr3:uid="{00000000-0010-0000-1200-000002000000}" name="Budget 15/16" totalsRowFunction="sum" dataDxfId="2149" totalsRowDxfId="2150" dataCellStyle="Currency 2 2 2"/>
    <tableColumn id="3" xr3:uid="{00000000-0010-0000-1200-000003000000}" name="Actual 15/16" totalsRowFunction="sum" dataDxfId="2147" totalsRowDxfId="2148" dataCellStyle="Currency 2 2 2"/>
    <tableColumn id="4" xr3:uid="{00000000-0010-0000-1200-000004000000}" name="Budget 16/17" totalsRowFunction="sum" dataDxfId="2145" totalsRowDxfId="2146" dataCellStyle="Currency 2 2 2"/>
    <tableColumn id="5" xr3:uid="{00000000-0010-0000-1200-000005000000}" name="Actual 16/17" totalsRowFunction="sum" dataDxfId="2143" totalsRowDxfId="2144" dataCellStyle="Currency 2 2 2"/>
    <tableColumn id="6" xr3:uid="{00000000-0010-0000-1200-000006000000}" name="Budget 17/18" totalsRowFunction="sum" dataDxfId="2141" totalsRowDxfId="2142" dataCellStyle="Currency 2 2 2"/>
    <tableColumn id="7" xr3:uid="{00000000-0010-0000-1200-000007000000}" name="Actual 17/18" totalsRowFunction="sum" dataDxfId="2139" totalsRowDxfId="2140" dataCellStyle="Currency 2 2 2"/>
  </tableColumns>
  <tableStyleInfo name="Feds Budget" showFirstColumn="0" showLastColumn="0" showRowStripes="0"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01000000}" name="SummaryExpenses106" displayName="SummaryExpenses106" ref="A11:D16" totalsRowCount="1" headerRowDxfId="2840">
  <tableColumns count="4">
    <tableColumn id="1" xr3:uid="{00000000-0010-0000-0100-000001000000}" name="Expenses by Portfolio" totalsRowLabel="Total" totalsRowDxfId="2839"/>
    <tableColumn id="10" xr3:uid="{00000000-0010-0000-0100-00000A000000}" name="Budget 18/19" totalsRowFunction="sum" dataDxfId="2837" totalsRowDxfId="2838" dataCellStyle="Currency 2">
      <calculatedColumnFormula>PresidentSummary[[#Totals],[Budget 18/19]]</calculatedColumnFormula>
    </tableColumn>
    <tableColumn id="11" xr3:uid="{00000000-0010-0000-0100-00000B000000}" name="Actual 18/19" totalsRowFunction="sum" dataDxfId="2835" totalsRowDxfId="2836" dataCellStyle="Currency 2">
      <calculatedColumnFormula>PresidentSummary[[#Totals],[Actual 18/19]]</calculatedColumnFormula>
    </tableColumn>
    <tableColumn id="12" xr3:uid="{00000000-0010-0000-0100-00000C000000}" name="Budget 19/20" totalsRowFunction="sum" dataDxfId="2833" totalsRowDxfId="2834" dataCellStyle="Currency">
      <calculatedColumnFormula>PresidentSummary[[#Totals],[Budget 19/20]]</calculatedColumnFormula>
    </tableColumn>
  </tableColumns>
  <tableStyleInfo name="Feds Budget" showFirstColumn="0" showLastColumn="0" showRowStripes="0" showColumnStripes="1"/>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13000000}" name="SocietyRelationsRevenues" displayName="SocietyRelationsRevenues" ref="B4:K6" totalsRowCount="1" headerRowDxfId="2138" headerRowCellStyle="Normal 2 2">
  <tableColumns count="10">
    <tableColumn id="1" xr3:uid="{00000000-0010-0000-1300-000001000000}" name="Revenues" totalsRowLabel="Total" dataDxfId="2136" totalsRowDxfId="2137" dataCellStyle="Normal 2 2"/>
    <tableColumn id="2" xr3:uid="{00000000-0010-0000-1300-000002000000}" name="Budget 15/16" totalsRowFunction="sum" dataDxfId="2134" totalsRowDxfId="2135" dataCellStyle="Normal 2 2"/>
    <tableColumn id="3" xr3:uid="{00000000-0010-0000-1300-000003000000}" name="Actual 15/16" totalsRowFunction="sum" dataDxfId="2132" totalsRowDxfId="2133" dataCellStyle="Normal 2 2"/>
    <tableColumn id="4" xr3:uid="{00000000-0010-0000-1300-000004000000}" name="Budget 16/17" totalsRowFunction="sum" dataDxfId="2130" totalsRowDxfId="2131" dataCellStyle="Normal 2 2"/>
    <tableColumn id="5" xr3:uid="{00000000-0010-0000-1300-000005000000}" name="Actual 16/17" dataDxfId="2129" dataCellStyle="Normal 2 2"/>
    <tableColumn id="6" xr3:uid="{00000000-0010-0000-1300-000006000000}" name="Budget 17/18" dataDxfId="2128" dataCellStyle="Normal 2 2"/>
    <tableColumn id="7" xr3:uid="{00000000-0010-0000-1300-000007000000}" name="Actual 17/18" dataDxfId="2127" dataCellStyle="Normal 2 2"/>
    <tableColumn id="8" xr3:uid="{00000000-0010-0000-1300-000008000000}" name="Budget 18/19" dataDxfId="2126" dataCellStyle="Normal 2 2"/>
    <tableColumn id="9" xr3:uid="{00000000-0010-0000-1300-000009000000}" name="Budget 19/20" dataDxfId="2125" dataCellStyle="Normal 2 2"/>
    <tableColumn id="10" xr3:uid="{00000000-0010-0000-1300-00000A000000}" name="Budget 19/21" dataDxfId="2124" dataCellStyle="Normal 2 2"/>
  </tableColumns>
  <tableStyleInfo name="Feds Budget" showFirstColumn="0" showLastColumn="0" showRowStripes="0" showColumnStripes="1"/>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14000000}" name="DirectorofCampusLifeRevenues" displayName="DirectorofCampusLifeRevenues" ref="B4:P7" totalsRowCount="1" headerRowDxfId="2123" dataDxfId="2122" headerRowCellStyle="Normal 3" dataCellStyle="Currency 2 2">
  <tableColumns count="15">
    <tableColumn id="1" xr3:uid="{00000000-0010-0000-1400-000001000000}" name="Revenues" totalsRowLabel="Total" dataDxfId="2120" totalsRowDxfId="2121" dataCellStyle="Normal 3"/>
    <tableColumn id="2" xr3:uid="{00000000-0010-0000-1400-000002000000}" name="Budget 13/14" totalsRowFunction="sum" dataDxfId="2118" totalsRowDxfId="2119" dataCellStyle="Currency 2 2"/>
    <tableColumn id="3" xr3:uid="{00000000-0010-0000-1400-000003000000}" name="Actual 13/14" totalsRowFunction="sum" dataDxfId="2116" totalsRowDxfId="2117" dataCellStyle="Currency 2 2"/>
    <tableColumn id="4" xr3:uid="{00000000-0010-0000-1400-000004000000}" name="Budget 14/15" totalsRowFunction="sum" dataDxfId="2114" totalsRowDxfId="2115" dataCellStyle="Currency 2 2"/>
    <tableColumn id="5" xr3:uid="{00000000-0010-0000-1400-000005000000}" name="Actual 14/15" totalsRowFunction="sum" dataDxfId="2112" totalsRowDxfId="2113" dataCellStyle="Currency 2 2"/>
    <tableColumn id="6" xr3:uid="{00000000-0010-0000-1400-000006000000}" name="Budget 15/16" totalsRowFunction="sum" dataDxfId="2110" totalsRowDxfId="2111" dataCellStyle="Currency 2 2"/>
    <tableColumn id="7" xr3:uid="{00000000-0010-0000-1400-000007000000}" name="Actual 15/16" totalsRowFunction="sum" dataDxfId="2108" totalsRowDxfId="2109" dataCellStyle="Currency 2 2"/>
    <tableColumn id="8" xr3:uid="{00000000-0010-0000-1400-000008000000}" name="Budget 16/17" totalsRowFunction="sum" dataDxfId="2106" totalsRowDxfId="2107" dataCellStyle="Currency 2 2"/>
    <tableColumn id="9" xr3:uid="{00000000-0010-0000-1400-000009000000}" name="Actual 16/17" totalsRowFunction="sum" dataDxfId="2104" totalsRowDxfId="2105" dataCellStyle="Currency 2 2"/>
    <tableColumn id="10" xr3:uid="{00000000-0010-0000-1400-00000A000000}" name="Budget 17/18" totalsRowFunction="sum" dataDxfId="2102" totalsRowDxfId="2103" dataCellStyle="Currency 2 2"/>
    <tableColumn id="11" xr3:uid="{00000000-0010-0000-1400-00000B000000}" name="Actual 17/18" totalsRowFunction="custom" dataDxfId="2100" totalsRowDxfId="2101" dataCellStyle="Currency 2 2">
      <totalsRowFormula>SUBTOTAL(109,DirectorofCampusLifeRevenues[Revenues])</totalsRowFormula>
    </tableColumn>
    <tableColumn id="12" xr3:uid="{00000000-0010-0000-1400-00000C000000}" name="Budget 18/19" totalsRowFunction="custom" dataDxfId="2098" totalsRowDxfId="2099" dataCellStyle="Currency 2 2">
      <totalsRowFormula>SUBTOTAL(109,DirectorofCampusLifeRevenues[Budget 13/14])</totalsRowFormula>
    </tableColumn>
    <tableColumn id="15" xr3:uid="{00000000-0010-0000-1400-00000F000000}" name="Actual 18/19" dataDxfId="2096" totalsRowDxfId="2097" dataCellStyle="Currency 2 2"/>
    <tableColumn id="13" xr3:uid="{00000000-0010-0000-1400-00000D000000}" name="Budget 18/20" totalsRowFunction="custom" dataDxfId="2094" totalsRowDxfId="2095" dataCellStyle="Currency 2 2">
      <totalsRowFormula>SUBTOTAL(109,DirectorofCampusLifeRevenues[Actual 13/14])</totalsRowFormula>
    </tableColumn>
    <tableColumn id="14" xr3:uid="{00000000-0010-0000-1400-00000E000000}" name="Budget 18/21" dataDxfId="2092" totalsRowDxfId="2093" dataCellStyle="Currency 2 2"/>
  </tableColumns>
  <tableStyleInfo name="Feds Budget" showFirstColumn="0" showLastColumn="0" showRowStripes="0" showColumnStripes="1"/>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15000000}" name="DirectorofCampusLifeExpenses" displayName="DirectorofCampusLifeExpenses" ref="B9:P24" totalsRowCount="1" headerRowDxfId="2091" dataDxfId="2090" headerRowCellStyle="Normal 3" dataCellStyle="Currency 4">
  <tableColumns count="15">
    <tableColumn id="1" xr3:uid="{00000000-0010-0000-1500-000001000000}" name="Expenses" totalsRowLabel="Total" dataDxfId="2088" totalsRowDxfId="2089" dataCellStyle="Normal 3"/>
    <tableColumn id="2" xr3:uid="{00000000-0010-0000-1500-000002000000}" name="Budget 13/14" totalsRowFunction="sum" dataDxfId="2086" totalsRowDxfId="2087" dataCellStyle="Currency 4"/>
    <tableColumn id="3" xr3:uid="{00000000-0010-0000-1500-000003000000}" name="Actual 13/14" totalsRowFunction="sum" dataDxfId="2084" totalsRowDxfId="2085" dataCellStyle="Currency 4"/>
    <tableColumn id="4" xr3:uid="{00000000-0010-0000-1500-000004000000}" name="Budget 14/15" totalsRowFunction="sum" dataDxfId="2082" totalsRowDxfId="2083" dataCellStyle="Currency 4"/>
    <tableColumn id="5" xr3:uid="{00000000-0010-0000-1500-000005000000}" name="Actual 14/15" totalsRowFunction="sum" dataDxfId="2080" totalsRowDxfId="2081" dataCellStyle="Currency 4"/>
    <tableColumn id="6" xr3:uid="{00000000-0010-0000-1500-000006000000}" name="Budget 15/16" totalsRowFunction="sum" dataDxfId="2078" totalsRowDxfId="2079" dataCellStyle="Currency 4"/>
    <tableColumn id="7" xr3:uid="{00000000-0010-0000-1500-000007000000}" name="Actual 15/16" totalsRowFunction="sum" dataDxfId="2076" totalsRowDxfId="2077" dataCellStyle="Currency 4"/>
    <tableColumn id="8" xr3:uid="{00000000-0010-0000-1500-000008000000}" name="Budget 16/17" totalsRowFunction="sum" dataDxfId="2074" totalsRowDxfId="2075" dataCellStyle="Currency 4"/>
    <tableColumn id="9" xr3:uid="{00000000-0010-0000-1500-000009000000}" name="Actual 16/17" totalsRowFunction="sum" dataDxfId="2072" totalsRowDxfId="2073" dataCellStyle="Currency 4"/>
    <tableColumn id="10" xr3:uid="{00000000-0010-0000-1500-00000A000000}" name="Budget 17/18" totalsRowFunction="sum" dataDxfId="2070" totalsRowDxfId="2071" dataCellStyle="Currency 4"/>
    <tableColumn id="11" xr3:uid="{00000000-0010-0000-1500-00000B000000}" name="Actual 17/18" totalsRowFunction="custom" dataDxfId="2068" totalsRowDxfId="2069" dataCellStyle="Currency 4">
      <totalsRowFormula>SUM(DirectorofCampusLifeExpenses[Actual 17/18])</totalsRowFormula>
    </tableColumn>
    <tableColumn id="12" xr3:uid="{00000000-0010-0000-1500-00000C000000}" name="Budget 18/19" totalsRowFunction="custom" dataDxfId="2066" totalsRowDxfId="2067" dataCellStyle="Currency">
      <totalsRowFormula>SUM(DirectorofCampusLifeExpenses[Budget 18/19])</totalsRowFormula>
    </tableColumn>
    <tableColumn id="14" xr3:uid="{00000000-0010-0000-1500-00000E000000}" name="Actual 18/19" totalsRowFunction="custom" dataDxfId="2064" totalsRowDxfId="2065" dataCellStyle="Currency 4">
      <totalsRowFormula>SUM(DirectorofCampusLifeExpenses[Actual 18/19])</totalsRowFormula>
    </tableColumn>
    <tableColumn id="13" xr3:uid="{00000000-0010-0000-1500-00000D000000}" name="Budget 19/20" totalsRowFunction="custom" dataDxfId="2062" totalsRowDxfId="2063" dataCellStyle="Currency">
      <totalsRowFormula>SUM(DirectorofCampusLifeExpenses[Budget 19/20])</totalsRowFormula>
    </tableColumn>
    <tableColumn id="15" xr3:uid="{00000000-0010-0000-1500-00000F000000}" name="Budget 19/21" dataDxfId="2060" totalsRowDxfId="2061" dataCellStyle="Currency"/>
  </tableColumns>
  <tableStyleInfo name="Feds Budget" showFirstColumn="0" showLastColumn="0" showRowStripes="0" showColumnStripes="1"/>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16000000}" name="ServicesManagerRevenues" displayName="ServicesManagerRevenues" ref="B4:P7" totalsRowCount="1" headerRowDxfId="2059" dataDxfId="2058" headerRowCellStyle="Normal 3" dataCellStyle="Currency 2 2">
  <tableColumns count="15">
    <tableColumn id="1" xr3:uid="{00000000-0010-0000-1600-000001000000}" name="Revenues" totalsRowLabel="Total" dataDxfId="2056" totalsRowDxfId="2057" dataCellStyle="Normal 3"/>
    <tableColumn id="2" xr3:uid="{00000000-0010-0000-1600-000002000000}" name="Budget 13/14" totalsRowFunction="sum" dataDxfId="2054" totalsRowDxfId="2055" dataCellStyle="Currency 2 2"/>
    <tableColumn id="3" xr3:uid="{00000000-0010-0000-1600-000003000000}" name="Actual 13/14" totalsRowFunction="sum" dataDxfId="2052" totalsRowDxfId="2053" dataCellStyle="Currency 2 2"/>
    <tableColumn id="4" xr3:uid="{00000000-0010-0000-1600-000004000000}" name="Budget 14/15" totalsRowFunction="sum" dataDxfId="2050" totalsRowDxfId="2051" dataCellStyle="Currency 2 2"/>
    <tableColumn id="5" xr3:uid="{00000000-0010-0000-1600-000005000000}" name="Actual 14/15" totalsRowFunction="sum" dataDxfId="2048" totalsRowDxfId="2049" dataCellStyle="Currency 2 2"/>
    <tableColumn id="6" xr3:uid="{00000000-0010-0000-1600-000006000000}" name="Budget 15/16" totalsRowFunction="sum" dataDxfId="2046" totalsRowDxfId="2047" dataCellStyle="Currency 2 2"/>
    <tableColumn id="7" xr3:uid="{00000000-0010-0000-1600-000007000000}" name="Actual 15/16" totalsRowFunction="sum" dataDxfId="2044" totalsRowDxfId="2045" dataCellStyle="Currency 2 2"/>
    <tableColumn id="8" xr3:uid="{00000000-0010-0000-1600-000008000000}" name="Budget 16/17" totalsRowFunction="sum" dataDxfId="2042" totalsRowDxfId="2043" dataCellStyle="Currency 2 2"/>
    <tableColumn id="9" xr3:uid="{00000000-0010-0000-1600-000009000000}" name="Actual 16/17" dataDxfId="2040" totalsRowDxfId="2041" dataCellStyle="Currency 2 2"/>
    <tableColumn id="10" xr3:uid="{00000000-0010-0000-1600-00000A000000}" name="Budget 17/18" dataDxfId="2038" totalsRowDxfId="2039" dataCellStyle="Currency 2 2"/>
    <tableColumn id="11" xr3:uid="{00000000-0010-0000-1600-00000B000000}" name="Actual 17/18" dataDxfId="2036" totalsRowDxfId="2037" dataCellStyle="Currency 2 2"/>
    <tableColumn id="12" xr3:uid="{00000000-0010-0000-1600-00000C000000}" name="Budget 18/19" dataDxfId="2034" totalsRowDxfId="2035" dataCellStyle="Currency 2 2"/>
    <tableColumn id="15" xr3:uid="{00000000-0010-0000-1600-00000F000000}" name="Actual 18/19" dataDxfId="2032" totalsRowDxfId="2033" dataCellStyle="Currency 2 2"/>
    <tableColumn id="13" xr3:uid="{00000000-0010-0000-1600-00000D000000}" name="Budget 19/20" dataDxfId="2030" totalsRowDxfId="2031" dataCellStyle="Currency 2 2"/>
    <tableColumn id="14" xr3:uid="{00000000-0010-0000-1600-00000E000000}" name="Budget 19/21" dataDxfId="2028" totalsRowDxfId="2029" dataCellStyle="Currency 2 2"/>
  </tableColumns>
  <tableStyleInfo name="Feds Budget" showFirstColumn="0" showLastColumn="0" showRowStripes="0" showColumnStripes="1"/>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17000000}" name="ServicesManagerExpenses" displayName="ServicesManagerExpenses" ref="B9:P22" totalsRowCount="1" headerRowDxfId="2027" dataDxfId="2026" dataCellStyle="Currency">
  <tableColumns count="15">
    <tableColumn id="1" xr3:uid="{00000000-0010-0000-1700-000001000000}" name="Expenses" totalsRowLabel="Total" dataDxfId="2024" totalsRowDxfId="2025"/>
    <tableColumn id="2" xr3:uid="{00000000-0010-0000-1700-000002000000}" name="Budget 13/14" totalsRowFunction="sum" dataDxfId="2022" totalsRowDxfId="2023" dataCellStyle="Currency"/>
    <tableColumn id="3" xr3:uid="{00000000-0010-0000-1700-000003000000}" name="Actual 13/14" totalsRowFunction="sum" dataDxfId="2020" totalsRowDxfId="2021"/>
    <tableColumn id="4" xr3:uid="{00000000-0010-0000-1700-000004000000}" name="Budget 14/15" totalsRowFunction="sum" dataDxfId="2018" totalsRowDxfId="2019" dataCellStyle="Currency"/>
    <tableColumn id="5" xr3:uid="{00000000-0010-0000-1700-000005000000}" name="Actual 14/15" totalsRowFunction="sum" dataDxfId="2016" totalsRowDxfId="2017" dataCellStyle="Currency"/>
    <tableColumn id="6" xr3:uid="{00000000-0010-0000-1700-000006000000}" name="Budget 15/16" totalsRowFunction="sum" dataDxfId="2014" totalsRowDxfId="2015" dataCellStyle="Currency 10"/>
    <tableColumn id="7" xr3:uid="{00000000-0010-0000-1700-000007000000}" name="Actual 15/16" totalsRowFunction="sum" dataDxfId="2012" totalsRowDxfId="2013" dataCellStyle="Currency"/>
    <tableColumn id="8" xr3:uid="{00000000-0010-0000-1700-000008000000}" name="Budget 16/17" totalsRowFunction="sum" dataDxfId="2010" totalsRowDxfId="2011" dataCellStyle="Currency"/>
    <tableColumn id="9" xr3:uid="{00000000-0010-0000-1700-000009000000}" name="Actual 16/17" totalsRowFunction="sum" dataDxfId="2008" totalsRowDxfId="2009" dataCellStyle="Currency"/>
    <tableColumn id="10" xr3:uid="{00000000-0010-0000-1700-00000A000000}" name="Budget 17/18" totalsRowFunction="sum" dataDxfId="2006" totalsRowDxfId="2007" dataCellStyle="Currency"/>
    <tableColumn id="11" xr3:uid="{00000000-0010-0000-1700-00000B000000}" name="Actual 17/18" totalsRowFunction="custom" dataDxfId="2004" totalsRowDxfId="2005" dataCellStyle="Currency">
      <totalsRowFormula>SUM(ServicesManagerExpenses[Actual 17/18])</totalsRowFormula>
    </tableColumn>
    <tableColumn id="12" xr3:uid="{00000000-0010-0000-1700-00000C000000}" name="Budget 18/19" totalsRowFunction="custom" dataDxfId="2002" totalsRowDxfId="2003" dataCellStyle="Currency">
      <totalsRowFormula>SUM(ServicesManagerExpenses[Budget 18/19])</totalsRowFormula>
    </tableColumn>
    <tableColumn id="15" xr3:uid="{00000000-0010-0000-1700-00000F000000}" name="Actual 18/19" totalsRowFunction="custom" dataDxfId="2000" totalsRowDxfId="2001" dataCellStyle="Currency">
      <totalsRowFormula>SUM(ServicesManagerExpenses[Actual 18/19])</totalsRowFormula>
    </tableColumn>
    <tableColumn id="13" xr3:uid="{00000000-0010-0000-1700-00000D000000}" name="Budget 19/20" totalsRowFunction="custom" dataDxfId="1998" totalsRowDxfId="1999" dataCellStyle="Currency">
      <totalsRowFormula>SUBTOTAL(109,O10:O21)</totalsRowFormula>
    </tableColumn>
    <tableColumn id="14" xr3:uid="{00000000-0010-0000-1700-00000E000000}" name="Budget 19/21" totalsRowDxfId="1997" dataCellStyle="Currency"/>
  </tableColumns>
  <tableStyleInfo name="Feds Budget" showFirstColumn="0" showLastColumn="0" showRowStripes="0" showColumnStripes="1"/>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18000000}" name="ClubsRevenues" displayName="ClubsRevenues" ref="B5:V10" totalsRowCount="1" headerRowDxfId="1996" dataDxfId="1995">
  <tableColumns count="21">
    <tableColumn id="1" xr3:uid="{00000000-0010-0000-1800-000001000000}" name="Revenues" totalsRowLabel="Total" dataDxfId="1993" totalsRowDxfId="1994" dataCellStyle="Normal 2 13"/>
    <tableColumn id="2" xr3:uid="{00000000-0010-0000-1800-000002000000}" name="Budget 10/11" totalsRowFunction="sum" dataDxfId="1991" totalsRowDxfId="1992" dataCellStyle="Normal 2 13"/>
    <tableColumn id="3" xr3:uid="{00000000-0010-0000-1800-000003000000}" name="Actual 10/11" totalsRowFunction="sum" dataDxfId="1989" totalsRowDxfId="1990" dataCellStyle="Normal 2 13"/>
    <tableColumn id="4" xr3:uid="{00000000-0010-0000-1800-000004000000}" name="Budget 11/12" totalsRowFunction="sum" dataDxfId="1987" totalsRowDxfId="1988" dataCellStyle="Normal 2 13"/>
    <tableColumn id="5" xr3:uid="{00000000-0010-0000-1800-000005000000}" name="Actual 11/12" totalsRowFunction="sum" dataDxfId="1985" totalsRowDxfId="1986" dataCellStyle="Normal 2 13"/>
    <tableColumn id="6" xr3:uid="{00000000-0010-0000-1800-000006000000}" name="Budget 12/13" totalsRowFunction="sum" dataDxfId="1983" totalsRowDxfId="1984" dataCellStyle="Normal 2 13"/>
    <tableColumn id="7" xr3:uid="{00000000-0010-0000-1800-000007000000}" name="Actual 12/13" totalsRowFunction="sum" dataDxfId="1981" totalsRowDxfId="1982" dataCellStyle="Normal 2 13"/>
    <tableColumn id="8" xr3:uid="{00000000-0010-0000-1800-000008000000}" name="Budget 13/14" totalsRowFunction="sum" dataDxfId="1979" totalsRowDxfId="1980" dataCellStyle="Normal 2 13"/>
    <tableColumn id="9" xr3:uid="{00000000-0010-0000-1800-000009000000}" name="Actual 13/14" totalsRowFunction="sum" dataDxfId="1977" totalsRowDxfId="1978" dataCellStyle="Normal 2 13"/>
    <tableColumn id="10" xr3:uid="{00000000-0010-0000-1800-00000A000000}" name="Budget 14/15" totalsRowFunction="sum" dataDxfId="1975" totalsRowDxfId="1976" dataCellStyle="Normal 2 13"/>
    <tableColumn id="11" xr3:uid="{00000000-0010-0000-1800-00000B000000}" name="Actual 14/15" totalsRowFunction="sum" dataDxfId="1973" totalsRowDxfId="1974" dataCellStyle="Normal 2 13"/>
    <tableColumn id="12" xr3:uid="{00000000-0010-0000-1800-00000C000000}" name="Budget 15/16" totalsRowFunction="sum" dataDxfId="1971" totalsRowDxfId="1972" dataCellStyle="Normal 2 13"/>
    <tableColumn id="13" xr3:uid="{00000000-0010-0000-1800-00000D000000}" name="Actual 15/16" totalsRowFunction="sum" dataDxfId="1969" totalsRowDxfId="1970" dataCellStyle="Normal 2 13"/>
    <tableColumn id="14" xr3:uid="{00000000-0010-0000-1800-00000E000000}" name="Budget 16/17" totalsRowFunction="sum" dataDxfId="1967" totalsRowDxfId="1968" dataCellStyle="Normal 2 13"/>
    <tableColumn id="15" xr3:uid="{00000000-0010-0000-1800-00000F000000}" name="Actual 16/17" totalsRowFunction="sum" dataDxfId="1965" totalsRowDxfId="1966" dataCellStyle="Normal 2 13"/>
    <tableColumn id="16" xr3:uid="{00000000-0010-0000-1800-000010000000}" name="Budget 17/18" totalsRowFunction="sum" dataDxfId="1963" totalsRowDxfId="1964" dataCellStyle="Normal 2 13"/>
    <tableColumn id="17" xr3:uid="{00000000-0010-0000-1800-000011000000}" name="Actual 17/18" totalsRowFunction="custom" dataDxfId="1961" totalsRowDxfId="1962" dataCellStyle="Currency">
      <totalsRowFormula>SUM(ClubsRevenues[Actual 17/18])</totalsRowFormula>
    </tableColumn>
    <tableColumn id="18" xr3:uid="{00000000-0010-0000-1800-000012000000}" name="Budget 18/19" totalsRowFunction="custom" dataDxfId="1959" totalsRowDxfId="1960" dataCellStyle="Currency">
      <totalsRowFormula>SUM(ClubsRevenues[Budget 18/19])</totalsRowFormula>
    </tableColumn>
    <tableColumn id="21" xr3:uid="{00000000-0010-0000-1800-000015000000}" name="Actual 18/19" totalsRowFunction="custom" dataDxfId="1957" totalsRowDxfId="1958" dataCellStyle="Normal 2 13">
      <totalsRowFormula>SUM(ClubsRevenues[Actual 18/19])</totalsRowFormula>
    </tableColumn>
    <tableColumn id="19" xr3:uid="{00000000-0010-0000-1800-000013000000}" name="Budget 19/20" totalsRowFunction="custom" dataDxfId="1955" totalsRowDxfId="1956" dataCellStyle="Currency">
      <totalsRowFormula>SUM(ClubsRevenues[Budget 19/20])</totalsRowFormula>
    </tableColumn>
    <tableColumn id="20" xr3:uid="{00000000-0010-0000-1800-000014000000}" name="Budget 20/21" totalsRowDxfId="1954" dataCellStyle="Currency"/>
  </tableColumns>
  <tableStyleInfo name="Feds Budget" showFirstColumn="0" showLastColumn="0" showRowStripes="0" showColumnStripes="1"/>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19000000}" name="ClubsExpenses" displayName="ClubsExpenses" ref="B13:V32" totalsRowCount="1" headerRowDxfId="1953" dataDxfId="1952" dataCellStyle="Currency">
  <tableColumns count="21">
    <tableColumn id="1" xr3:uid="{00000000-0010-0000-1900-000001000000}" name="Expenses" totalsRowLabel="Total" dataDxfId="1950" totalsRowDxfId="1951" dataCellStyle="Normal 2 13"/>
    <tableColumn id="2" xr3:uid="{00000000-0010-0000-1900-000002000000}" name="Budget 10/11" totalsRowFunction="sum" dataDxfId="1948" totalsRowDxfId="1949" dataCellStyle="Normal 2 13"/>
    <tableColumn id="3" xr3:uid="{00000000-0010-0000-1900-000003000000}" name="Actual 10/11" totalsRowFunction="sum" dataDxfId="1946" totalsRowDxfId="1947" dataCellStyle="Normal 2 13"/>
    <tableColumn id="4" xr3:uid="{00000000-0010-0000-1900-000004000000}" name="Budget 11/12" totalsRowFunction="sum" dataDxfId="1944" totalsRowDxfId="1945" dataCellStyle="Normal 2 13"/>
    <tableColumn id="5" xr3:uid="{00000000-0010-0000-1900-000005000000}" name="Actual 11/12" totalsRowFunction="sum" dataDxfId="1942" totalsRowDxfId="1943" dataCellStyle="Normal 2 13"/>
    <tableColumn id="6" xr3:uid="{00000000-0010-0000-1900-000006000000}" name="Budget 12/13" totalsRowFunction="sum" dataDxfId="1940" totalsRowDxfId="1941" dataCellStyle="Normal 2 13"/>
    <tableColumn id="7" xr3:uid="{00000000-0010-0000-1900-000007000000}" name="Actual 12/13" totalsRowFunction="sum" dataDxfId="1938" totalsRowDxfId="1939" dataCellStyle="Normal 2 13"/>
    <tableColumn id="8" xr3:uid="{00000000-0010-0000-1900-000008000000}" name="Budget 13/14" totalsRowFunction="sum" dataDxfId="1936" totalsRowDxfId="1937" dataCellStyle="Normal 2 13"/>
    <tableColumn id="9" xr3:uid="{00000000-0010-0000-1900-000009000000}" name="Actual 13/14" totalsRowFunction="sum" dataDxfId="1934" totalsRowDxfId="1935" dataCellStyle="Normal 2 13"/>
    <tableColumn id="10" xr3:uid="{00000000-0010-0000-1900-00000A000000}" name="Budget 14/15" totalsRowFunction="sum" dataDxfId="1932" totalsRowDxfId="1933" dataCellStyle="Normal 2 13"/>
    <tableColumn id="11" xr3:uid="{00000000-0010-0000-1900-00000B000000}" name="Actual 14/15" totalsRowFunction="sum" dataDxfId="1930" totalsRowDxfId="1931" dataCellStyle="Normal 2 13"/>
    <tableColumn id="12" xr3:uid="{00000000-0010-0000-1900-00000C000000}" name="Budget 15/16" totalsRowFunction="sum" dataDxfId="1928" totalsRowDxfId="1929" dataCellStyle="Normal 2 13"/>
    <tableColumn id="13" xr3:uid="{00000000-0010-0000-1900-00000D000000}" name="Actual 15/16" totalsRowFunction="sum" dataDxfId="1926" totalsRowDxfId="1927" dataCellStyle="Normal 2 13"/>
    <tableColumn id="14" xr3:uid="{00000000-0010-0000-1900-00000E000000}" name="Budget 16/17" totalsRowFunction="sum" dataDxfId="1924" totalsRowDxfId="1925" dataCellStyle="Normal 2 13"/>
    <tableColumn id="15" xr3:uid="{00000000-0010-0000-1900-00000F000000}" name="Actual 16/17" totalsRowFunction="sum" dataDxfId="1922" totalsRowDxfId="1923" dataCellStyle="Normal 2 13"/>
    <tableColumn id="16" xr3:uid="{00000000-0010-0000-1900-000010000000}" name="Budget 17/18" totalsRowFunction="sum" dataDxfId="1920" totalsRowDxfId="1921" dataCellStyle="Normal 2 13"/>
    <tableColumn id="17" xr3:uid="{00000000-0010-0000-1900-000011000000}" name="Actual 17/18" totalsRowFunction="custom" dataDxfId="1918" totalsRowDxfId="1919" dataCellStyle="Currency">
      <totalsRowFormula>SUM(ClubsExpenses[Actual 17/18])</totalsRowFormula>
    </tableColumn>
    <tableColumn id="18" xr3:uid="{00000000-0010-0000-1900-000012000000}" name="Budget 18/19" totalsRowFunction="custom" dataDxfId="1916" totalsRowDxfId="1917" dataCellStyle="Currency">
      <totalsRowFormula>SUM(ClubsExpenses[Budget 18/19])</totalsRowFormula>
    </tableColumn>
    <tableColumn id="21" xr3:uid="{00000000-0010-0000-1900-000015000000}" name="Actual 18/19" totalsRowFunction="custom" dataDxfId="1914" totalsRowDxfId="1915" dataCellStyle="Currency">
      <totalsRowFormula>SUM(ClubsExpenses[Actual 18/19])</totalsRowFormula>
    </tableColumn>
    <tableColumn id="19" xr3:uid="{00000000-0010-0000-1900-000013000000}" name="Budget 19/20" totalsRowFunction="custom" dataDxfId="1912" totalsRowDxfId="1913" dataCellStyle="Currency">
      <totalsRowFormula>SUM(ClubsExpenses[Budget 19/20])</totalsRowFormula>
    </tableColumn>
    <tableColumn id="20" xr3:uid="{00000000-0010-0000-1900-000014000000}" name="Budget 20/21" totalsRowFunction="sum" totalsRowDxfId="1911" dataCellStyle="Currency"/>
  </tableColumns>
  <tableStyleInfo name="Feds Budget" showFirstColumn="0" showLastColumn="0" showRowStripes="0" showColumnStripes="1"/>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1A000000}" name="CRTRevenues" displayName="CRTRevenues" ref="B5:V8" totalsRowCount="1" headerRowDxfId="1910" dataDxfId="1909">
  <tableColumns count="21">
    <tableColumn id="1" xr3:uid="{00000000-0010-0000-1A00-000001000000}" name="Revenues" totalsRowLabel="Total" dataDxfId="1907" totalsRowDxfId="1908"/>
    <tableColumn id="2" xr3:uid="{00000000-0010-0000-1A00-000002000000}" name="Budget10/11" totalsRowFunction="sum" dataDxfId="1905" totalsRowDxfId="1906"/>
    <tableColumn id="3" xr3:uid="{00000000-0010-0000-1A00-000003000000}" name="Actual 10/11" totalsRowFunction="sum" dataDxfId="1903" totalsRowDxfId="1904"/>
    <tableColumn id="4" xr3:uid="{00000000-0010-0000-1A00-000004000000}" name="Budget 11/12" totalsRowFunction="sum" dataDxfId="1901" totalsRowDxfId="1902"/>
    <tableColumn id="5" xr3:uid="{00000000-0010-0000-1A00-000005000000}" name="Actual 11/12" totalsRowFunction="sum" dataDxfId="1899" totalsRowDxfId="1900"/>
    <tableColumn id="6" xr3:uid="{00000000-0010-0000-1A00-000006000000}" name="Budget 12/13" totalsRowFunction="sum" dataDxfId="1897" totalsRowDxfId="1898"/>
    <tableColumn id="7" xr3:uid="{00000000-0010-0000-1A00-000007000000}" name="Actual 12/13" totalsRowFunction="sum" dataDxfId="1895" totalsRowDxfId="1896"/>
    <tableColumn id="8" xr3:uid="{00000000-0010-0000-1A00-000008000000}" name="Budget 13/14" totalsRowFunction="sum" dataDxfId="1893" totalsRowDxfId="1894"/>
    <tableColumn id="9" xr3:uid="{00000000-0010-0000-1A00-000009000000}" name="Actual 13/14" totalsRowFunction="sum" dataDxfId="1891" totalsRowDxfId="1892"/>
    <tableColumn id="10" xr3:uid="{00000000-0010-0000-1A00-00000A000000}" name="Budget 14/15" totalsRowFunction="sum" dataDxfId="1889" totalsRowDxfId="1890"/>
    <tableColumn id="11" xr3:uid="{00000000-0010-0000-1A00-00000B000000}" name="Actual 14/15" totalsRowFunction="sum" dataDxfId="1887" totalsRowDxfId="1888"/>
    <tableColumn id="12" xr3:uid="{00000000-0010-0000-1A00-00000C000000}" name="Budget 15/16" totalsRowFunction="sum" dataDxfId="1885" totalsRowDxfId="1886"/>
    <tableColumn id="13" xr3:uid="{00000000-0010-0000-1A00-00000D000000}" name="Actual 15/16" totalsRowFunction="sum" dataDxfId="1883" totalsRowDxfId="1884"/>
    <tableColumn id="14" xr3:uid="{00000000-0010-0000-1A00-00000E000000}" name="Budget 16/17" totalsRowFunction="sum" totalsRowDxfId="1882"/>
    <tableColumn id="15" xr3:uid="{00000000-0010-0000-1A00-00000F000000}" name="Actual 16/17" totalsRowFunction="sum" totalsRowDxfId="1881"/>
    <tableColumn id="16" xr3:uid="{00000000-0010-0000-1A00-000010000000}" name="Budget 17/18" totalsRowFunction="sum" totalsRowDxfId="1880"/>
    <tableColumn id="17" xr3:uid="{00000000-0010-0000-1A00-000011000000}" name="Acutal 17/18" totalsRowFunction="custom" dataDxfId="1878" totalsRowDxfId="1879" dataCellStyle="Currency">
      <totalsRowFormula>SUM(CRTRevenues[Acutal 17/18])</totalsRowFormula>
    </tableColumn>
    <tableColumn id="18" xr3:uid="{00000000-0010-0000-1A00-000012000000}" name="Budget 18/19" totalsRowFunction="custom" dataDxfId="1876" totalsRowDxfId="1877" dataCellStyle="Currency">
      <totalsRowFormula>SUM(CRTRevenues[Budget 18/19])</totalsRowFormula>
    </tableColumn>
    <tableColumn id="21" xr3:uid="{00000000-0010-0000-1A00-000015000000}" name="Budget 18/20" totalsRowFunction="custom" dataDxfId="1874" totalsRowDxfId="1875" dataCellStyle="Currency">
      <totalsRowFormula>SUM(CRTRevenues[Budget 18/20])</totalsRowFormula>
    </tableColumn>
    <tableColumn id="19" xr3:uid="{00000000-0010-0000-1A00-000013000000}" name="Budget 19/20" totalsRowFunction="custom" dataDxfId="1872" totalsRowDxfId="1873" dataCellStyle="Currency">
      <totalsRowFormula>SUM(CRTRevenues[Budget 19/20])</totalsRowFormula>
    </tableColumn>
    <tableColumn id="20" xr3:uid="{00000000-0010-0000-1A00-000014000000}" name="Budget 19/21" dataDxfId="1870" totalsRowDxfId="1871" dataCellStyle="Currency"/>
  </tableColumns>
  <tableStyleInfo name="Feds Budget" showFirstColumn="0" showLastColumn="0" showRowStripes="0" showColumnStripes="1"/>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1B000000}" name="CRTExpenses" displayName="CRTExpenses" ref="B10:V28" totalsRowCount="1" headerRowDxfId="1869" dataDxfId="1868">
  <tableColumns count="21">
    <tableColumn id="1" xr3:uid="{00000000-0010-0000-1B00-000001000000}" name="Expenses" totalsRowLabel="Total" dataDxfId="1866" totalsRowDxfId="1867"/>
    <tableColumn id="2" xr3:uid="{00000000-0010-0000-1B00-000002000000}" name="Budget 10/11" totalsRowFunction="sum" dataDxfId="1864" totalsRowDxfId="1865"/>
    <tableColumn id="3" xr3:uid="{00000000-0010-0000-1B00-000003000000}" name="Actual 10/11" totalsRowFunction="sum" dataDxfId="1862" totalsRowDxfId="1863"/>
    <tableColumn id="4" xr3:uid="{00000000-0010-0000-1B00-000004000000}" name="Budget 11/12" totalsRowFunction="sum" dataDxfId="1860" totalsRowDxfId="1861"/>
    <tableColumn id="5" xr3:uid="{00000000-0010-0000-1B00-000005000000}" name="Actual 11/12" totalsRowFunction="sum" dataDxfId="1858" totalsRowDxfId="1859"/>
    <tableColumn id="6" xr3:uid="{00000000-0010-0000-1B00-000006000000}" name="Budget 12/13" totalsRowFunction="sum" dataDxfId="1856" totalsRowDxfId="1857"/>
    <tableColumn id="7" xr3:uid="{00000000-0010-0000-1B00-000007000000}" name="Actual 12/13" totalsRowFunction="sum" dataDxfId="1854" totalsRowDxfId="1855"/>
    <tableColumn id="8" xr3:uid="{00000000-0010-0000-1B00-000008000000}" name="Budget 13/14" totalsRowFunction="sum" dataDxfId="1852" totalsRowDxfId="1853"/>
    <tableColumn id="9" xr3:uid="{00000000-0010-0000-1B00-000009000000}" name="Actual 13/14" totalsRowFunction="sum" dataDxfId="1850" totalsRowDxfId="1851"/>
    <tableColumn id="10" xr3:uid="{00000000-0010-0000-1B00-00000A000000}" name="Budget 14/15" totalsRowFunction="sum" dataDxfId="1848" totalsRowDxfId="1849"/>
    <tableColumn id="11" xr3:uid="{00000000-0010-0000-1B00-00000B000000}" name="Actual 14/15" totalsRowFunction="sum" dataDxfId="1846" totalsRowDxfId="1847"/>
    <tableColumn id="12" xr3:uid="{00000000-0010-0000-1B00-00000C000000}" name="Budget 15/16" totalsRowFunction="sum" dataDxfId="1844" totalsRowDxfId="1845"/>
    <tableColumn id="13" xr3:uid="{00000000-0010-0000-1B00-00000D000000}" name="Actual 15/16" totalsRowFunction="sum" dataDxfId="1842" totalsRowDxfId="1843"/>
    <tableColumn id="14" xr3:uid="{00000000-0010-0000-1B00-00000E000000}" name="Budget 16/17" totalsRowFunction="sum" dataDxfId="1840" totalsRowDxfId="1841"/>
    <tableColumn id="15" xr3:uid="{00000000-0010-0000-1B00-00000F000000}" name="Actual 16/17" totalsRowFunction="sum" dataDxfId="1838" totalsRowDxfId="1839"/>
    <tableColumn id="16" xr3:uid="{00000000-0010-0000-1B00-000010000000}" name="Budget 17/18" totalsRowFunction="sum" dataDxfId="1836" totalsRowDxfId="1837"/>
    <tableColumn id="17" xr3:uid="{00000000-0010-0000-1B00-000011000000}" name="Actual 17/18" totalsRowFunction="sum" dataDxfId="1834" totalsRowDxfId="1835" dataCellStyle="Currency"/>
    <tableColumn id="18" xr3:uid="{00000000-0010-0000-1B00-000012000000}" name="Budget 18/19" totalsRowFunction="sum" dataDxfId="1832" totalsRowDxfId="1833" dataCellStyle="Currency"/>
    <tableColumn id="21" xr3:uid="{00000000-0010-0000-1B00-000015000000}" name="Budget 18/20" totalsRowFunction="sum" totalsRowDxfId="1831"/>
    <tableColumn id="19" xr3:uid="{00000000-0010-0000-1B00-000013000000}" name="Budget 19/20" totalsRowFunction="sum" dataDxfId="1829" totalsRowDxfId="1830" dataCellStyle="Currency"/>
    <tableColumn id="20" xr3:uid="{00000000-0010-0000-1B00-000014000000}" name="Budget 19/21" dataDxfId="1827" totalsRowDxfId="1828"/>
  </tableColumns>
  <tableStyleInfo name="Feds Budget" showFirstColumn="0" showLastColumn="0" showRowStripes="0" showColumnStripes="1"/>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1C000000}" name="FoodbankRevenues" displayName="FoodbankRevenues" ref="B4:U7" totalsRowCount="1" headerRowDxfId="1826" dataDxfId="1825">
  <tableColumns count="20">
    <tableColumn id="1" xr3:uid="{00000000-0010-0000-1C00-000001000000}" name="Revenues" totalsRowLabel="Total" dataDxfId="1823" totalsRowDxfId="1824"/>
    <tableColumn id="2" xr3:uid="{00000000-0010-0000-1C00-000002000000}" name="Budget 10/11" totalsRowFunction="sum" dataDxfId="1821" totalsRowDxfId="1822"/>
    <tableColumn id="3" xr3:uid="{00000000-0010-0000-1C00-000003000000}" name="Actual 10/11" totalsRowFunction="sum" dataDxfId="1819" totalsRowDxfId="1820"/>
    <tableColumn id="4" xr3:uid="{00000000-0010-0000-1C00-000004000000}" name="Budget 11/12" totalsRowFunction="sum" dataDxfId="1817" totalsRowDxfId="1818"/>
    <tableColumn id="5" xr3:uid="{00000000-0010-0000-1C00-000005000000}" name="Actual 11/12" totalsRowFunction="sum" dataDxfId="1815" totalsRowDxfId="1816"/>
    <tableColumn id="6" xr3:uid="{00000000-0010-0000-1C00-000006000000}" name="Budget 12/13" totalsRowFunction="sum" dataDxfId="1813" totalsRowDxfId="1814"/>
    <tableColumn id="7" xr3:uid="{00000000-0010-0000-1C00-000007000000}" name="Actual 12/13" totalsRowFunction="sum" dataDxfId="1811" totalsRowDxfId="1812"/>
    <tableColumn id="8" xr3:uid="{00000000-0010-0000-1C00-000008000000}" name="Budget 13/14" totalsRowFunction="sum" dataDxfId="1809" totalsRowDxfId="1810"/>
    <tableColumn id="9" xr3:uid="{00000000-0010-0000-1C00-000009000000}" name="Actual 13/14" totalsRowFunction="sum" dataDxfId="1807" totalsRowDxfId="1808"/>
    <tableColumn id="10" xr3:uid="{00000000-0010-0000-1C00-00000A000000}" name="Budget 14/15" totalsRowFunction="sum" dataDxfId="1805" totalsRowDxfId="1806"/>
    <tableColumn id="11" xr3:uid="{00000000-0010-0000-1C00-00000B000000}" name="Actual 14/15" totalsRowFunction="sum" dataDxfId="1803" totalsRowDxfId="1804"/>
    <tableColumn id="12" xr3:uid="{00000000-0010-0000-1C00-00000C000000}" name="Budget 15/16" totalsRowFunction="sum" dataDxfId="1801" totalsRowDxfId="1802"/>
    <tableColumn id="13" xr3:uid="{00000000-0010-0000-1C00-00000D000000}" name="Actual 15/16" totalsRowFunction="sum" dataDxfId="1799" totalsRowDxfId="1800"/>
    <tableColumn id="14" xr3:uid="{00000000-0010-0000-1C00-00000E000000}" name="Budget 16/17" totalsRowFunction="sum" dataDxfId="1797" totalsRowDxfId="1798"/>
    <tableColumn id="15" xr3:uid="{00000000-0010-0000-1C00-00000F000000}" name="Actual 16/17" totalsRowFunction="sum" dataDxfId="1795" totalsRowDxfId="1796"/>
    <tableColumn id="16" xr3:uid="{00000000-0010-0000-1C00-000010000000}" name="Budget 17/18" totalsRowFunction="sum" dataDxfId="1793" totalsRowDxfId="1794" dataCellStyle="Currency"/>
    <tableColumn id="17" xr3:uid="{00000000-0010-0000-1C00-000011000000}" name="Actual 17/18" totalsRowFunction="sum" dataDxfId="1791" totalsRowDxfId="1792" dataCellStyle="Currency"/>
    <tableColumn id="18" xr3:uid="{00000000-0010-0000-1C00-000012000000}" name="Budget 18/19" totalsRowFunction="sum" dataDxfId="1789" totalsRowDxfId="1790" dataCellStyle="Currency"/>
    <tableColumn id="19" xr3:uid="{00000000-0010-0000-1C00-000013000000}" name="Budget 19/20" totalsRowFunction="sum" dataDxfId="1787" totalsRowDxfId="1788" dataCellStyle="Currency"/>
    <tableColumn id="20" xr3:uid="{00000000-0010-0000-1C00-000014000000}" name="Budget 19/21" dataDxfId="1785" totalsRowDxfId="1786" dataCellStyle="Currency"/>
  </tableColumns>
  <tableStyleInfo name="Feds Budget" showFirstColumn="0" showLastColumn="0" showRowStripes="0"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2000000}" name="PresidentSummary" displayName="PresidentSummary" ref="A12:U18" totalsRowCount="1" headerRowDxfId="2832" dataDxfId="2831" headerRowBorderDxfId="2829" tableBorderDxfId="2830">
  <tableColumns count="21">
    <tableColumn id="1" xr3:uid="{00000000-0010-0000-0200-000001000000}" name="Summary of Expenses" totalsRowLabel="Total" totalsRowDxfId="2828"/>
    <tableColumn id="3" xr3:uid="{00000000-0010-0000-0200-000003000000}" name="Column1" dataDxfId="2826" totalsRowDxfId="2827" dataCellStyle="Currency 2"/>
    <tableColumn id="4" xr3:uid="{00000000-0010-0000-0200-000004000000}" name="Column2" dataDxfId="2824" totalsRowDxfId="2825" dataCellStyle="Currency 2"/>
    <tableColumn id="5" xr3:uid="{00000000-0010-0000-0200-000005000000}" name="Column3" dataDxfId="2822" totalsRowDxfId="2823" dataCellStyle="Currency 2"/>
    <tableColumn id="6" xr3:uid="{00000000-0010-0000-0200-000006000000}" name="Column4" dataDxfId="2820" totalsRowDxfId="2821" dataCellStyle="Currency 2"/>
    <tableColumn id="7" xr3:uid="{00000000-0010-0000-0200-000007000000}" name="Column5" dataDxfId="2818" totalsRowDxfId="2819" dataCellStyle="Currency 2"/>
    <tableColumn id="8" xr3:uid="{00000000-0010-0000-0200-000008000000}" name="Column6" dataDxfId="2816" totalsRowDxfId="2817" dataCellStyle="Currency 2"/>
    <tableColumn id="9" xr3:uid="{00000000-0010-0000-0200-000009000000}" name="Column7" dataDxfId="2814" totalsRowDxfId="2815" dataCellStyle="Currency 2"/>
    <tableColumn id="2" xr3:uid="{00000000-0010-0000-0200-000002000000}" name="Column8" dataDxfId="2812" totalsRowDxfId="2813" dataCellStyle="Currency 2"/>
    <tableColumn id="10" xr3:uid="{00000000-0010-0000-0200-00000A000000}" name="Column9" dataDxfId="2810" totalsRowDxfId="2811" dataCellStyle="Currency 2"/>
    <tableColumn id="11" xr3:uid="{00000000-0010-0000-0200-00000B000000}" name="Column10" dataDxfId="2808" totalsRowDxfId="2809" dataCellStyle="Currency 2"/>
    <tableColumn id="12" xr3:uid="{00000000-0010-0000-0200-00000C000000}" name="Budget 15/16" totalsRowFunction="sum" dataDxfId="2806" totalsRowDxfId="2807" dataCellStyle="Currency 2"/>
    <tableColumn id="13" xr3:uid="{00000000-0010-0000-0200-00000D000000}" name="Actual 15/16" totalsRowFunction="sum" dataDxfId="2804" totalsRowDxfId="2805" dataCellStyle="Currency 2"/>
    <tableColumn id="14" xr3:uid="{00000000-0010-0000-0200-00000E000000}" name="Budget 16/17" totalsRowFunction="sum" dataDxfId="2802" totalsRowDxfId="2803" dataCellStyle="Currency 2"/>
    <tableColumn id="15" xr3:uid="{00000000-0010-0000-0200-00000F000000}" name="Actual 16/17" totalsRowFunction="sum" dataDxfId="2800" totalsRowDxfId="2801"/>
    <tableColumn id="16" xr3:uid="{00000000-0010-0000-0200-000010000000}" name="Budget 17/18" totalsRowFunction="sum" dataDxfId="2798" totalsRowDxfId="2799"/>
    <tableColumn id="17" xr3:uid="{00000000-0010-0000-0200-000011000000}" name="Actual 17/18" totalsRowFunction="sum" dataDxfId="2796" totalsRowDxfId="2797"/>
    <tableColumn id="18" xr3:uid="{00000000-0010-0000-0200-000012000000}" name="Budget 18/19" totalsRowFunction="sum" dataDxfId="2794" totalsRowDxfId="2795" dataCellStyle="Currency"/>
    <tableColumn id="21" xr3:uid="{00000000-0010-0000-0200-000015000000}" name="Actual 18/19" totalsRowFunction="sum" dataDxfId="2792" totalsRowDxfId="2793" dataCellStyle="Currency 2">
      <calculatedColumnFormula>'President (30100)'!T34</calculatedColumnFormula>
    </tableColumn>
    <tableColumn id="19" xr3:uid="{00000000-0010-0000-0200-000013000000}" name="Budget 19/20" totalsRowFunction="sum" dataDxfId="2790" totalsRowDxfId="2791" dataCellStyle="Currency"/>
    <tableColumn id="20" xr3:uid="{00000000-0010-0000-0200-000014000000}" name="Budget 19/21" dataDxfId="2788" totalsRowDxfId="2789" dataCellStyle="Currency"/>
  </tableColumns>
  <tableStyleInfo name="Feds Budget" showFirstColumn="0" showLastColumn="0" showRowStripes="0" showColumnStripes="1"/>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1D000000}" name="FoodbankExpenses" displayName="FoodbankExpenses" ref="B10:U22" totalsRowCount="1" headerRowDxfId="1784" dataDxfId="1783" dataCellStyle="Currency">
  <tableColumns count="20">
    <tableColumn id="1" xr3:uid="{00000000-0010-0000-1D00-000001000000}" name="Expenses" totalsRowLabel="Total" dataDxfId="1781" totalsRowDxfId="1782"/>
    <tableColumn id="2" xr3:uid="{00000000-0010-0000-1D00-000002000000}" name="Budget 10/11" totalsRowFunction="sum" dataDxfId="1779" totalsRowDxfId="1780" dataCellStyle="Currency"/>
    <tableColumn id="3" xr3:uid="{00000000-0010-0000-1D00-000003000000}" name="Actual 10/11" totalsRowFunction="sum" dataDxfId="1777" totalsRowDxfId="1778" dataCellStyle="Currency"/>
    <tableColumn id="4" xr3:uid="{00000000-0010-0000-1D00-000004000000}" name="Budget 11/12" totalsRowFunction="sum" dataDxfId="1775" totalsRowDxfId="1776" dataCellStyle="Currency"/>
    <tableColumn id="5" xr3:uid="{00000000-0010-0000-1D00-000005000000}" name="Actual 11/12" totalsRowFunction="sum" dataDxfId="1773" totalsRowDxfId="1774" dataCellStyle="Currency"/>
    <tableColumn id="6" xr3:uid="{00000000-0010-0000-1D00-000006000000}" name="Budget 12/13" totalsRowFunction="sum" dataDxfId="1771" totalsRowDxfId="1772" dataCellStyle="Currency"/>
    <tableColumn id="7" xr3:uid="{00000000-0010-0000-1D00-000007000000}" name="Actual 12/13" totalsRowFunction="sum" dataDxfId="1769" totalsRowDxfId="1770" dataCellStyle="Currency"/>
    <tableColumn id="8" xr3:uid="{00000000-0010-0000-1D00-000008000000}" name="Budget 13/14" totalsRowFunction="sum" dataDxfId="1767" totalsRowDxfId="1768" dataCellStyle="Currency"/>
    <tableColumn id="9" xr3:uid="{00000000-0010-0000-1D00-000009000000}" name="Actual 13/14" totalsRowFunction="sum" dataDxfId="1765" totalsRowDxfId="1766" dataCellStyle="Currency"/>
    <tableColumn id="10" xr3:uid="{00000000-0010-0000-1D00-00000A000000}" name="Budget 14/15" totalsRowFunction="sum" dataDxfId="1763" totalsRowDxfId="1764" dataCellStyle="Currency"/>
    <tableColumn id="11" xr3:uid="{00000000-0010-0000-1D00-00000B000000}" name="Actual 14/15" totalsRowFunction="sum" dataDxfId="1761" totalsRowDxfId="1762" dataCellStyle="Currency"/>
    <tableColumn id="12" xr3:uid="{00000000-0010-0000-1D00-00000C000000}" name="Budget 15/16" totalsRowFunction="sum" dataDxfId="1759" totalsRowDxfId="1760" dataCellStyle="Currency"/>
    <tableColumn id="13" xr3:uid="{00000000-0010-0000-1D00-00000D000000}" name="Actual 15/16" totalsRowFunction="sum" dataDxfId="1757" totalsRowDxfId="1758" dataCellStyle="Currency"/>
    <tableColumn id="14" xr3:uid="{00000000-0010-0000-1D00-00000E000000}" name="Budget 16/17" totalsRowFunction="sum" dataDxfId="1755" totalsRowDxfId="1756"/>
    <tableColumn id="15" xr3:uid="{00000000-0010-0000-1D00-00000F000000}" name="Actual 16/17" totalsRowFunction="sum" dataDxfId="1753" totalsRowDxfId="1754" dataCellStyle="Currency"/>
    <tableColumn id="16" xr3:uid="{00000000-0010-0000-1D00-000010000000}" name="Budget 17/18" totalsRowFunction="sum" dataDxfId="1751" totalsRowDxfId="1752" dataCellStyle="Currency"/>
    <tableColumn id="17" xr3:uid="{00000000-0010-0000-1D00-000011000000}" name="Actual 17/18" totalsRowFunction="custom" dataDxfId="1749" totalsRowDxfId="1750" dataCellStyle="Currency">
      <totalsRowFormula>SUM(FoodbankExpenses[Actual 17/18])</totalsRowFormula>
    </tableColumn>
    <tableColumn id="18" xr3:uid="{00000000-0010-0000-1D00-000012000000}" name="Budget 18/19" totalsRowFunction="custom" dataDxfId="1747" totalsRowDxfId="1748" dataCellStyle="Currency">
      <totalsRowFormula>SUM(FoodbankExpenses[Budget 18/19])</totalsRowFormula>
    </tableColumn>
    <tableColumn id="19" xr3:uid="{00000000-0010-0000-1D00-000013000000}" name="Budget 19/20" totalsRowFunction="sum" dataDxfId="1745" totalsRowDxfId="1746" dataCellStyle="Currency"/>
    <tableColumn id="20" xr3:uid="{00000000-0010-0000-1D00-000014000000}" name="Budget 19/21" dataDxfId="1743" totalsRowDxfId="1744" dataCellStyle="Currency"/>
  </tableColumns>
  <tableStyleInfo name="Feds Budget" showFirstColumn="0" showLastColumn="0" showRowStripes="0" showColumnStripes="1"/>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1E000000}" name="GlowRevenues" displayName="GlowRevenues" ref="B5:U8" totalsRowCount="1" headerRowDxfId="1742" dataDxfId="1741">
  <tableColumns count="20">
    <tableColumn id="1" xr3:uid="{00000000-0010-0000-1E00-000001000000}" name="Revenues" totalsRowLabel="Total" dataDxfId="1739" totalsRowDxfId="1740"/>
    <tableColumn id="2" xr3:uid="{00000000-0010-0000-1E00-000002000000}" name="Budget 10/11" totalsRowFunction="sum" dataDxfId="1737" totalsRowDxfId="1738"/>
    <tableColumn id="3" xr3:uid="{00000000-0010-0000-1E00-000003000000}" name="Actual 10/11" totalsRowFunction="sum" dataDxfId="1735" totalsRowDxfId="1736"/>
    <tableColumn id="4" xr3:uid="{00000000-0010-0000-1E00-000004000000}" name="Budget 11/12" totalsRowFunction="sum" dataDxfId="1733" totalsRowDxfId="1734"/>
    <tableColumn id="5" xr3:uid="{00000000-0010-0000-1E00-000005000000}" name="Actual 11/12" totalsRowFunction="sum" dataDxfId="1731" totalsRowDxfId="1732"/>
    <tableColumn id="6" xr3:uid="{00000000-0010-0000-1E00-000006000000}" name="Budget 12/13" totalsRowFunction="sum" dataDxfId="1729" totalsRowDxfId="1730"/>
    <tableColumn id="7" xr3:uid="{00000000-0010-0000-1E00-000007000000}" name="Actual 12/13" totalsRowFunction="sum" dataDxfId="1727" totalsRowDxfId="1728"/>
    <tableColumn id="8" xr3:uid="{00000000-0010-0000-1E00-000008000000}" name="Budget 13/14" totalsRowFunction="sum" dataDxfId="1725" totalsRowDxfId="1726"/>
    <tableColumn id="9" xr3:uid="{00000000-0010-0000-1E00-000009000000}" name="Actual 13/14" totalsRowFunction="sum" dataDxfId="1723" totalsRowDxfId="1724"/>
    <tableColumn id="10" xr3:uid="{00000000-0010-0000-1E00-00000A000000}" name="Budget 14/15" totalsRowFunction="sum" dataDxfId="1721" totalsRowDxfId="1722"/>
    <tableColumn id="11" xr3:uid="{00000000-0010-0000-1E00-00000B000000}" name="Actual 14/15" totalsRowFunction="sum" dataDxfId="1719" totalsRowDxfId="1720"/>
    <tableColumn id="12" xr3:uid="{00000000-0010-0000-1E00-00000C000000}" name="Budget 15/16" totalsRowFunction="sum" dataDxfId="1717" totalsRowDxfId="1718"/>
    <tableColumn id="13" xr3:uid="{00000000-0010-0000-1E00-00000D000000}" name="Actual 15/16" totalsRowFunction="sum" dataDxfId="1715" totalsRowDxfId="1716"/>
    <tableColumn id="14" xr3:uid="{00000000-0010-0000-1E00-00000E000000}" name="Budget 16/17" totalsRowFunction="sum" dataDxfId="1713" totalsRowDxfId="1714"/>
    <tableColumn id="15" xr3:uid="{00000000-0010-0000-1E00-00000F000000}" name="Actual 16/17" totalsRowFunction="sum" dataDxfId="1711" totalsRowDxfId="1712"/>
    <tableColumn id="16" xr3:uid="{00000000-0010-0000-1E00-000010000000}" name="Budget 17/18" totalsRowFunction="sum" dataDxfId="1709" totalsRowDxfId="1710"/>
    <tableColumn id="17" xr3:uid="{00000000-0010-0000-1E00-000011000000}" name="Actual 17/18" totalsRowFunction="custom" dataDxfId="1707" totalsRowDxfId="1708">
      <totalsRowFormula>SUBTOTAL(109,GlowRevenues[Revenues])</totalsRowFormula>
    </tableColumn>
    <tableColumn id="18" xr3:uid="{00000000-0010-0000-1E00-000012000000}" name="Budget 18/19" totalsRowFunction="sum" dataDxfId="1705" totalsRowDxfId="1706" dataCellStyle="Currency"/>
    <tableColumn id="19" xr3:uid="{00000000-0010-0000-1E00-000013000000}" name="Budget 19/20" totalsRowFunction="sum" dataDxfId="1703" totalsRowDxfId="1704" dataCellStyle="Currency"/>
    <tableColumn id="20" xr3:uid="{00000000-0010-0000-1E00-000014000000}" name="Budget 19/21" dataDxfId="1701" totalsRowDxfId="1702"/>
  </tableColumns>
  <tableStyleInfo name="Feds Budget" showFirstColumn="0" showLastColumn="0" showRowStripes="0" showColumnStripes="1"/>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1F000000}" name="GlowExpenses" displayName="GlowExpenses" ref="B10:U28" totalsRowCount="1" headerRowDxfId="1700" dataDxfId="1699">
  <sortState xmlns:xlrd2="http://schemas.microsoft.com/office/spreadsheetml/2017/richdata2" ref="A11:O28">
    <sortCondition ref="A11:A28"/>
  </sortState>
  <tableColumns count="20">
    <tableColumn id="1" xr3:uid="{00000000-0010-0000-1F00-000001000000}" name="Expenses" totalsRowLabel="Total" dataDxfId="1697" totalsRowDxfId="1698"/>
    <tableColumn id="2" xr3:uid="{00000000-0010-0000-1F00-000002000000}" name="Budget 10/11" totalsRowFunction="sum" dataDxfId="1695" totalsRowDxfId="1696"/>
    <tableColumn id="3" xr3:uid="{00000000-0010-0000-1F00-000003000000}" name="Actual 10/11" totalsRowFunction="sum" dataDxfId="1693" totalsRowDxfId="1694"/>
    <tableColumn id="4" xr3:uid="{00000000-0010-0000-1F00-000004000000}" name="Budget 11/12" totalsRowFunction="sum" dataDxfId="1691" totalsRowDxfId="1692"/>
    <tableColumn id="5" xr3:uid="{00000000-0010-0000-1F00-000005000000}" name="Actual 11/12" totalsRowFunction="sum" dataDxfId="1689" totalsRowDxfId="1690"/>
    <tableColumn id="6" xr3:uid="{00000000-0010-0000-1F00-000006000000}" name="Budget 12/13" totalsRowFunction="sum" dataDxfId="1687" totalsRowDxfId="1688"/>
    <tableColumn id="7" xr3:uid="{00000000-0010-0000-1F00-000007000000}" name="Actual 12/13" totalsRowFunction="sum" dataDxfId="1685" totalsRowDxfId="1686"/>
    <tableColumn id="8" xr3:uid="{00000000-0010-0000-1F00-000008000000}" name="Budget 13/14" totalsRowFunction="sum" dataDxfId="1683" totalsRowDxfId="1684"/>
    <tableColumn id="9" xr3:uid="{00000000-0010-0000-1F00-000009000000}" name="Actual 13/14" totalsRowFunction="sum" dataDxfId="1681" totalsRowDxfId="1682"/>
    <tableColumn id="10" xr3:uid="{00000000-0010-0000-1F00-00000A000000}" name="Budget 14/15" totalsRowFunction="sum" dataDxfId="1679" totalsRowDxfId="1680"/>
    <tableColumn id="11" xr3:uid="{00000000-0010-0000-1F00-00000B000000}" name="Actual 14/15" totalsRowFunction="sum" dataDxfId="1677" totalsRowDxfId="1678"/>
    <tableColumn id="12" xr3:uid="{00000000-0010-0000-1F00-00000C000000}" name="Budget 15/16" totalsRowFunction="sum" dataDxfId="1675" totalsRowDxfId="1676"/>
    <tableColumn id="13" xr3:uid="{00000000-0010-0000-1F00-00000D000000}" name="Actual 15/16" totalsRowFunction="sum" dataDxfId="1673" totalsRowDxfId="1674"/>
    <tableColumn id="14" xr3:uid="{00000000-0010-0000-1F00-00000E000000}" name="Budget 16/17" totalsRowFunction="sum" dataDxfId="1671" totalsRowDxfId="1672"/>
    <tableColumn id="15" xr3:uid="{00000000-0010-0000-1F00-00000F000000}" name="Actual 16/17" totalsRowFunction="sum" dataDxfId="1669" totalsRowDxfId="1670"/>
    <tableColumn id="16" xr3:uid="{00000000-0010-0000-1F00-000010000000}" name="Budget 17/18" totalsRowFunction="sum" dataDxfId="1667" totalsRowDxfId="1668"/>
    <tableColumn id="17" xr3:uid="{00000000-0010-0000-1F00-000011000000}" name="Actual 17/18" totalsRowFunction="custom" dataDxfId="1665" totalsRowDxfId="1666" dataCellStyle="Currency">
      <totalsRowFormula>SUM(GlowExpenses[Actual 17/18])</totalsRowFormula>
    </tableColumn>
    <tableColumn id="18" xr3:uid="{00000000-0010-0000-1F00-000012000000}" name="Budget 18/19" totalsRowFunction="sum" dataDxfId="1663" totalsRowDxfId="1664" dataCellStyle="Currency"/>
    <tableColumn id="19" xr3:uid="{00000000-0010-0000-1F00-000013000000}" name="Budget 19/20" totalsRowFunction="sum" dataDxfId="1661" totalsRowDxfId="1662" dataCellStyle="Currency"/>
    <tableColumn id="20" xr3:uid="{00000000-0010-0000-1F00-000014000000}" name="Budget 19/21" dataDxfId="1659" totalsRowDxfId="1660" dataCellStyle="Currency"/>
  </tableColumns>
  <tableStyleInfo name="Feds Budget" showFirstColumn="0" showLastColumn="0" showRowStripes="0" showColumnStripes="1"/>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20000000}" name="SCIRevenues" displayName="SCIRevenues" ref="B4:U8" totalsRowCount="1" headerRowDxfId="1658" dataDxfId="1657" dataCellStyle="Currency">
  <tableColumns count="20">
    <tableColumn id="1" xr3:uid="{00000000-0010-0000-2000-000001000000}" name="Revenues" totalsRowLabel="Total" dataDxfId="1655" totalsRowDxfId="1656"/>
    <tableColumn id="2" xr3:uid="{00000000-0010-0000-2000-000002000000}" name="Budget 10/11" totalsRowFunction="sum" dataDxfId="1653" totalsRowDxfId="1654" dataCellStyle="Currency"/>
    <tableColumn id="3" xr3:uid="{00000000-0010-0000-2000-000003000000}" name="Actual 10/11" totalsRowFunction="sum" dataDxfId="1651" totalsRowDxfId="1652" dataCellStyle="Currency"/>
    <tableColumn id="4" xr3:uid="{00000000-0010-0000-2000-000004000000}" name="Budget 11/12" totalsRowFunction="sum" dataDxfId="1649" totalsRowDxfId="1650" dataCellStyle="Currency"/>
    <tableColumn id="5" xr3:uid="{00000000-0010-0000-2000-000005000000}" name="Actual 11/12" totalsRowFunction="sum" dataDxfId="1647" totalsRowDxfId="1648" dataCellStyle="Currency"/>
    <tableColumn id="6" xr3:uid="{00000000-0010-0000-2000-000006000000}" name="Budget 12/13" totalsRowFunction="sum" dataDxfId="1645" totalsRowDxfId="1646" dataCellStyle="Currency"/>
    <tableColumn id="7" xr3:uid="{00000000-0010-0000-2000-000007000000}" name="Actual 12/13" totalsRowFunction="sum" dataDxfId="1643" totalsRowDxfId="1644" dataCellStyle="Currency"/>
    <tableColumn id="8" xr3:uid="{00000000-0010-0000-2000-000008000000}" name="Budget 13/14" totalsRowFunction="sum" dataDxfId="1641" totalsRowDxfId="1642" dataCellStyle="Currency"/>
    <tableColumn id="9" xr3:uid="{00000000-0010-0000-2000-000009000000}" name="Actual 13/14" totalsRowFunction="sum" dataDxfId="1639" totalsRowDxfId="1640" dataCellStyle="Currency"/>
    <tableColumn id="10" xr3:uid="{00000000-0010-0000-2000-00000A000000}" name="Budget 14/15" totalsRowFunction="sum" dataDxfId="1637" totalsRowDxfId="1638" dataCellStyle="Currency"/>
    <tableColumn id="11" xr3:uid="{00000000-0010-0000-2000-00000B000000}" name="Actual 14/15" totalsRowFunction="sum" dataDxfId="1635" totalsRowDxfId="1636" dataCellStyle="Currency"/>
    <tableColumn id="12" xr3:uid="{00000000-0010-0000-2000-00000C000000}" name="Budget 15/16" totalsRowFunction="sum" dataDxfId="1633" totalsRowDxfId="1634" dataCellStyle="Currency"/>
    <tableColumn id="13" xr3:uid="{00000000-0010-0000-2000-00000D000000}" name="Actual 15/16" totalsRowFunction="sum" dataDxfId="1631" totalsRowDxfId="1632" dataCellStyle="Currency"/>
    <tableColumn id="14" xr3:uid="{00000000-0010-0000-2000-00000E000000}" name="Budget 16/17" totalsRowFunction="sum" dataDxfId="1629" totalsRowDxfId="1630" dataCellStyle="Currency"/>
    <tableColumn id="15" xr3:uid="{00000000-0010-0000-2000-00000F000000}" name="Actual 16/17" totalsRowFunction="sum" dataDxfId="1627" totalsRowDxfId="1628" dataCellStyle="Currency"/>
    <tableColumn id="16" xr3:uid="{00000000-0010-0000-2000-000010000000}" name="Budget 17/18" totalsRowFunction="sum" dataDxfId="1625" totalsRowDxfId="1626" dataCellStyle="Currency"/>
    <tableColumn id="17" xr3:uid="{00000000-0010-0000-2000-000011000000}" name="Actual 17/18" totalsRowFunction="sum" dataDxfId="1623" totalsRowDxfId="1624" dataCellStyle="Currency"/>
    <tableColumn id="18" xr3:uid="{00000000-0010-0000-2000-000012000000}" name="Budget 18/19" totalsRowFunction="custom" dataDxfId="1621" totalsRowDxfId="1622" dataCellStyle="Currency">
      <totalsRowFormula>SUM(SCIRevenues[Budget 18/19])</totalsRowFormula>
    </tableColumn>
    <tableColumn id="19" xr3:uid="{00000000-0010-0000-2000-000013000000}" name="Budget 19/20" totalsRowFunction="custom" dataDxfId="1619" totalsRowDxfId="1620" dataCellStyle="Currency">
      <totalsRowFormula>SUM(SCIRevenues[Budget 19/20])</totalsRowFormula>
    </tableColumn>
    <tableColumn id="20" xr3:uid="{00000000-0010-0000-2000-000014000000}" name="Budget 19/21" dataDxfId="1617" totalsRowDxfId="1618" dataCellStyle="Currency"/>
  </tableColumns>
  <tableStyleInfo name="Feds Budget" showFirstColumn="0" showLastColumn="0" showRowStripes="0" showColumnStripes="1"/>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21000000}" name="SCIExpenses" displayName="SCIExpenses" ref="B11:U49" totalsRowCount="1" headerRowDxfId="1616" dataDxfId="1615" dataCellStyle="Currency">
  <tableColumns count="20">
    <tableColumn id="1" xr3:uid="{00000000-0010-0000-2100-000001000000}" name="Expenses" totalsRowLabel="Total" dataDxfId="1613" totalsRowDxfId="1614"/>
    <tableColumn id="2" xr3:uid="{00000000-0010-0000-2100-000002000000}" name="Budget 10/11" totalsRowFunction="sum" dataDxfId="1611" totalsRowDxfId="1612" dataCellStyle="Currency"/>
    <tableColumn id="3" xr3:uid="{00000000-0010-0000-2100-000003000000}" name="Actual 10/11" totalsRowFunction="sum" dataDxfId="1609" totalsRowDxfId="1610" dataCellStyle="Currency"/>
    <tableColumn id="4" xr3:uid="{00000000-0010-0000-2100-000004000000}" name="Budget 11/12" totalsRowFunction="sum" dataDxfId="1607" totalsRowDxfId="1608" dataCellStyle="Currency"/>
    <tableColumn id="5" xr3:uid="{00000000-0010-0000-2100-000005000000}" name="Actual 11/12" totalsRowFunction="sum" dataDxfId="1605" totalsRowDxfId="1606" dataCellStyle="Currency"/>
    <tableColumn id="6" xr3:uid="{00000000-0010-0000-2100-000006000000}" name="Budget 12/13" totalsRowFunction="sum" dataDxfId="1603" totalsRowDxfId="1604" dataCellStyle="Currency"/>
    <tableColumn id="7" xr3:uid="{00000000-0010-0000-2100-000007000000}" name="Actual 12/13" totalsRowFunction="sum" dataDxfId="1601" totalsRowDxfId="1602" dataCellStyle="Currency"/>
    <tableColumn id="8" xr3:uid="{00000000-0010-0000-2100-000008000000}" name="Budget 13/14" totalsRowFunction="sum" dataDxfId="1599" totalsRowDxfId="1600" dataCellStyle="Currency"/>
    <tableColumn id="9" xr3:uid="{00000000-0010-0000-2100-000009000000}" name="Actual 13/14" totalsRowFunction="sum" dataDxfId="1597" totalsRowDxfId="1598" dataCellStyle="Currency"/>
    <tableColumn id="10" xr3:uid="{00000000-0010-0000-2100-00000A000000}" name="Budget 14/15" totalsRowFunction="sum" dataDxfId="1595" totalsRowDxfId="1596" dataCellStyle="Currency"/>
    <tableColumn id="11" xr3:uid="{00000000-0010-0000-2100-00000B000000}" name="Actual 14/15" totalsRowFunction="sum" dataDxfId="1593" totalsRowDxfId="1594" dataCellStyle="Currency"/>
    <tableColumn id="12" xr3:uid="{00000000-0010-0000-2100-00000C000000}" name="Budget 15/16" totalsRowFunction="sum" dataDxfId="1591" totalsRowDxfId="1592" dataCellStyle="Currency"/>
    <tableColumn id="13" xr3:uid="{00000000-0010-0000-2100-00000D000000}" name="Actual 15/16" totalsRowFunction="sum" dataDxfId="1589" totalsRowDxfId="1590" dataCellStyle="Currency"/>
    <tableColumn id="14" xr3:uid="{00000000-0010-0000-2100-00000E000000}" name="Budget 16/17" totalsRowFunction="sum" dataDxfId="1587" totalsRowDxfId="1588"/>
    <tableColumn id="15" xr3:uid="{00000000-0010-0000-2100-00000F000000}" name="Actual 16/17" totalsRowFunction="sum" dataDxfId="1585" totalsRowDxfId="1586" dataCellStyle="Currency"/>
    <tableColumn id="16" xr3:uid="{00000000-0010-0000-2100-000010000000}" name="Budget 17/18" totalsRowFunction="sum" dataDxfId="1583" totalsRowDxfId="1584" dataCellStyle="Currency"/>
    <tableColumn id="17" xr3:uid="{00000000-0010-0000-2100-000011000000}" name="Actual 17/18" totalsRowFunction="sum" dataDxfId="1581" totalsRowDxfId="1582" dataCellStyle="Currency"/>
    <tableColumn id="18" xr3:uid="{00000000-0010-0000-2100-000012000000}" name="Budget 18/19" totalsRowFunction="sum" dataDxfId="1579" totalsRowDxfId="1580" dataCellStyle="Currency"/>
    <tableColumn id="19" xr3:uid="{00000000-0010-0000-2100-000013000000}" name="Budget 19/20" totalsRowFunction="sum" dataDxfId="1577" totalsRowDxfId="1578" dataCellStyle="Currency"/>
    <tableColumn id="20" xr3:uid="{00000000-0010-0000-2100-000014000000}" name="Budget 19/21" dataDxfId="1575" totalsRowDxfId="1576" dataCellStyle="Currency"/>
  </tableColumns>
  <tableStyleInfo name="Feds Budget" showFirstColumn="0" showLastColumn="0" showRowStripes="0" showColumnStripes="1"/>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22000000}" name="OCCRevenues" displayName="OCCRevenues" ref="B5:U9" totalsRowCount="1" headerRowDxfId="1574" dataDxfId="1573" dataCellStyle="Currency">
  <tableColumns count="20">
    <tableColumn id="1" xr3:uid="{00000000-0010-0000-2200-000001000000}" name="Revenues" totalsRowLabel="Total" dataDxfId="1571" totalsRowDxfId="1572"/>
    <tableColumn id="2" xr3:uid="{00000000-0010-0000-2200-000002000000}" name="Budget 10/11" totalsRowFunction="sum" dataDxfId="1569" totalsRowDxfId="1570" dataCellStyle="Currency"/>
    <tableColumn id="3" xr3:uid="{00000000-0010-0000-2200-000003000000}" name="Actual 10/11" totalsRowFunction="sum" dataDxfId="1567" totalsRowDxfId="1568" dataCellStyle="Currency"/>
    <tableColumn id="4" xr3:uid="{00000000-0010-0000-2200-000004000000}" name="Budget 11/12" totalsRowFunction="sum" dataDxfId="1565" totalsRowDxfId="1566" dataCellStyle="Currency"/>
    <tableColumn id="5" xr3:uid="{00000000-0010-0000-2200-000005000000}" name="Actual 11/12" totalsRowFunction="sum" dataDxfId="1563" totalsRowDxfId="1564" dataCellStyle="Currency"/>
    <tableColumn id="6" xr3:uid="{00000000-0010-0000-2200-000006000000}" name="Budget 12/13" totalsRowFunction="sum" dataDxfId="1561" totalsRowDxfId="1562" dataCellStyle="Currency"/>
    <tableColumn id="7" xr3:uid="{00000000-0010-0000-2200-000007000000}" name="Actual 12/13" totalsRowFunction="sum" dataDxfId="1559" totalsRowDxfId="1560" dataCellStyle="Currency"/>
    <tableColumn id="8" xr3:uid="{00000000-0010-0000-2200-000008000000}" name="Budget 13/14" totalsRowFunction="sum" dataDxfId="1557" totalsRowDxfId="1558" dataCellStyle="Currency"/>
    <tableColumn id="9" xr3:uid="{00000000-0010-0000-2200-000009000000}" name="Actual 13/14" totalsRowFunction="sum" dataDxfId="1555" totalsRowDxfId="1556" dataCellStyle="Currency"/>
    <tableColumn id="10" xr3:uid="{00000000-0010-0000-2200-00000A000000}" name="Budget 14/15" totalsRowFunction="sum" dataDxfId="1553" totalsRowDxfId="1554" dataCellStyle="Currency"/>
    <tableColumn id="11" xr3:uid="{00000000-0010-0000-2200-00000B000000}" name="Actual 14/15" totalsRowFunction="sum" dataDxfId="1551" totalsRowDxfId="1552" dataCellStyle="Currency"/>
    <tableColumn id="12" xr3:uid="{00000000-0010-0000-2200-00000C000000}" name="Budget 15/16" totalsRowFunction="sum" dataDxfId="1549" totalsRowDxfId="1550" dataCellStyle="Currency"/>
    <tableColumn id="13" xr3:uid="{00000000-0010-0000-2200-00000D000000}" name="Actual 15/16" totalsRowFunction="sum" dataDxfId="1547" totalsRowDxfId="1548" dataCellStyle="Currency"/>
    <tableColumn id="14" xr3:uid="{00000000-0010-0000-2200-00000E000000}" name="Budget 16/17" totalsRowFunction="sum" dataDxfId="1545" totalsRowDxfId="1546" dataCellStyle="Currency"/>
    <tableColumn id="15" xr3:uid="{00000000-0010-0000-2200-00000F000000}" name="Actual 16/17" totalsRowFunction="sum" dataDxfId="1543" totalsRowDxfId="1544" dataCellStyle="Currency"/>
    <tableColumn id="16" xr3:uid="{00000000-0010-0000-2200-000010000000}" name="Budget 17/18" totalsRowFunction="sum" dataDxfId="1541" totalsRowDxfId="1542" dataCellStyle="Currency"/>
    <tableColumn id="17" xr3:uid="{00000000-0010-0000-2200-000011000000}" name="Actual 17/18" totalsRowFunction="custom" dataDxfId="1539" totalsRowDxfId="1540" dataCellStyle="Currency">
      <totalsRowFormula>SUM(OCCRevenues[Actual 17/18])</totalsRowFormula>
    </tableColumn>
    <tableColumn id="18" xr3:uid="{00000000-0010-0000-2200-000012000000}" name="Budget 18/19" totalsRowFunction="sum" dataDxfId="1537" totalsRowDxfId="1538" dataCellStyle="Currency"/>
    <tableColumn id="19" xr3:uid="{00000000-0010-0000-2200-000013000000}" name="Budget 19/20" totalsRowFunction="sum" dataDxfId="1535" totalsRowDxfId="1536" dataCellStyle="Currency"/>
    <tableColumn id="20" xr3:uid="{00000000-0010-0000-2200-000014000000}" name="Budget 19/21" dataDxfId="1533" totalsRowDxfId="1534" dataCellStyle="Currency"/>
  </tableColumns>
  <tableStyleInfo name="Feds Budget" showFirstColumn="0" showLastColumn="0" showRowStripes="0" showColumnStripes="1"/>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23000000}" name="OCCExpenses" displayName="OCCExpenses" ref="B12:U30" totalsRowCount="1" headerRowDxfId="1532" dataDxfId="1531">
  <tableColumns count="20">
    <tableColumn id="1" xr3:uid="{00000000-0010-0000-2300-000001000000}" name="Expenses" totalsRowLabel="Total" dataDxfId="1529" totalsRowDxfId="1530"/>
    <tableColumn id="2" xr3:uid="{00000000-0010-0000-2300-000002000000}" name="Budget 10/11" totalsRowFunction="sum" dataDxfId="1527" totalsRowDxfId="1528"/>
    <tableColumn id="3" xr3:uid="{00000000-0010-0000-2300-000003000000}" name="Actual 10/11" totalsRowFunction="sum" dataDxfId="1525" totalsRowDxfId="1526"/>
    <tableColumn id="4" xr3:uid="{00000000-0010-0000-2300-000004000000}" name="Budget 11/12" totalsRowFunction="sum" dataDxfId="1523" totalsRowDxfId="1524"/>
    <tableColumn id="5" xr3:uid="{00000000-0010-0000-2300-000005000000}" name="Actual 11/12" totalsRowFunction="sum" dataDxfId="1521" totalsRowDxfId="1522"/>
    <tableColumn id="6" xr3:uid="{00000000-0010-0000-2300-000006000000}" name="Budget 12/13" totalsRowFunction="sum" dataDxfId="1519" totalsRowDxfId="1520"/>
    <tableColumn id="7" xr3:uid="{00000000-0010-0000-2300-000007000000}" name="Actual 12/13" totalsRowFunction="sum" dataDxfId="1517" totalsRowDxfId="1518"/>
    <tableColumn id="8" xr3:uid="{00000000-0010-0000-2300-000008000000}" name="Budget 13/14" totalsRowFunction="sum" dataDxfId="1515" totalsRowDxfId="1516"/>
    <tableColumn id="9" xr3:uid="{00000000-0010-0000-2300-000009000000}" name="Actual 13/14" totalsRowFunction="sum" dataDxfId="1513" totalsRowDxfId="1514"/>
    <tableColumn id="10" xr3:uid="{00000000-0010-0000-2300-00000A000000}" name="Budget 14/15" totalsRowFunction="sum" dataDxfId="1511" totalsRowDxfId="1512"/>
    <tableColumn id="11" xr3:uid="{00000000-0010-0000-2300-00000B000000}" name="Actual 14/15" totalsRowFunction="sum" dataDxfId="1509" totalsRowDxfId="1510"/>
    <tableColumn id="12" xr3:uid="{00000000-0010-0000-2300-00000C000000}" name="Budget 15/16" totalsRowFunction="sum" dataDxfId="1507" totalsRowDxfId="1508"/>
    <tableColumn id="13" xr3:uid="{00000000-0010-0000-2300-00000D000000}" name="Actual 15/16" totalsRowFunction="sum" dataDxfId="1505" totalsRowDxfId="1506"/>
    <tableColumn id="14" xr3:uid="{00000000-0010-0000-2300-00000E000000}" name="Budget 16/17" totalsRowFunction="sum" dataDxfId="1503" totalsRowDxfId="1504"/>
    <tableColumn id="15" xr3:uid="{00000000-0010-0000-2300-00000F000000}" name="Actual 16/17" totalsRowFunction="sum" dataDxfId="1501" totalsRowDxfId="1502"/>
    <tableColumn id="16" xr3:uid="{00000000-0010-0000-2300-000010000000}" name="Budget 17/18" totalsRowFunction="sum" dataDxfId="1499" totalsRowDxfId="1500"/>
    <tableColumn id="17" xr3:uid="{00000000-0010-0000-2300-000011000000}" name="Actual 17/18" totalsRowFunction="custom" dataDxfId="1497" totalsRowDxfId="1498" dataCellStyle="Currency">
      <totalsRowFormula>SUM(OCCExpenses[Actual 17/18])</totalsRowFormula>
    </tableColumn>
    <tableColumn id="18" xr3:uid="{00000000-0010-0000-2300-000012000000}" name="Budget 18/19" totalsRowFunction="custom" dataDxfId="1495" totalsRowDxfId="1496" dataCellStyle="Currency">
      <totalsRowFormula>SUM(OCCExpenses[Budget 18/19])</totalsRowFormula>
    </tableColumn>
    <tableColumn id="19" xr3:uid="{00000000-0010-0000-2300-000013000000}" name="Budget 19/20" totalsRowFunction="custom" dataDxfId="1493" totalsRowDxfId="1494">
      <totalsRowFormula>SUM(T13:T24)</totalsRowFormula>
    </tableColumn>
    <tableColumn id="20" xr3:uid="{00000000-0010-0000-2300-000014000000}" name="Budget 19/21" dataDxfId="1491" totalsRowDxfId="1492" dataCellStyle="Currency"/>
  </tableColumns>
  <tableStyleInfo name="Feds Budget" showFirstColumn="0" showLastColumn="0" showRowStripes="0" showColumnStripes="1"/>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24000000}" name="WomensCentreRevenues" displayName="WomensCentreRevenues" ref="B5:U8" totalsRowCount="1" headerRowDxfId="1490" dataDxfId="1489" dataCellStyle="Currency">
  <tableColumns count="20">
    <tableColumn id="1" xr3:uid="{00000000-0010-0000-2400-000001000000}" name="Revenues" totalsRowLabel="Total" dataDxfId="1487" totalsRowDxfId="1488"/>
    <tableColumn id="2" xr3:uid="{00000000-0010-0000-2400-000002000000}" name="Budget 10/11" totalsRowFunction="sum" dataDxfId="1485" totalsRowDxfId="1486" dataCellStyle="Currency"/>
    <tableColumn id="3" xr3:uid="{00000000-0010-0000-2400-000003000000}" name="Actual 10/11" totalsRowFunction="sum" dataDxfId="1483" totalsRowDxfId="1484" dataCellStyle="Currency"/>
    <tableColumn id="4" xr3:uid="{00000000-0010-0000-2400-000004000000}" name="Budget 11/12" totalsRowFunction="sum" dataDxfId="1481" totalsRowDxfId="1482" dataCellStyle="Currency"/>
    <tableColumn id="5" xr3:uid="{00000000-0010-0000-2400-000005000000}" name="Actual 11/12" totalsRowFunction="sum" dataDxfId="1479" totalsRowDxfId="1480" dataCellStyle="Currency"/>
    <tableColumn id="6" xr3:uid="{00000000-0010-0000-2400-000006000000}" name="Budget 12/13" totalsRowFunction="sum" dataDxfId="1477" totalsRowDxfId="1478" dataCellStyle="Currency"/>
    <tableColumn id="7" xr3:uid="{00000000-0010-0000-2400-000007000000}" name="Actual 12/13" totalsRowFunction="sum" dataDxfId="1475" totalsRowDxfId="1476" dataCellStyle="Currency"/>
    <tableColumn id="8" xr3:uid="{00000000-0010-0000-2400-000008000000}" name="Budget 13/14" totalsRowFunction="sum" dataDxfId="1473" totalsRowDxfId="1474" dataCellStyle="Currency"/>
    <tableColumn id="9" xr3:uid="{00000000-0010-0000-2400-000009000000}" name="Actual 13/14" totalsRowFunction="sum" dataDxfId="1471" totalsRowDxfId="1472" dataCellStyle="Currency"/>
    <tableColumn id="10" xr3:uid="{00000000-0010-0000-2400-00000A000000}" name="Budget 14/15" totalsRowFunction="sum" dataDxfId="1469" totalsRowDxfId="1470" dataCellStyle="Currency"/>
    <tableColumn id="11" xr3:uid="{00000000-0010-0000-2400-00000B000000}" name="Actual 14/15" totalsRowFunction="sum" dataDxfId="1467" totalsRowDxfId="1468" dataCellStyle="Currency"/>
    <tableColumn id="12" xr3:uid="{00000000-0010-0000-2400-00000C000000}" name="Budget 15/16" totalsRowFunction="sum" dataDxfId="1465" totalsRowDxfId="1466" dataCellStyle="Currency"/>
    <tableColumn id="13" xr3:uid="{00000000-0010-0000-2400-00000D000000}" name="Actual 15/16" totalsRowFunction="sum" dataDxfId="1463" totalsRowDxfId="1464" dataCellStyle="Currency"/>
    <tableColumn id="14" xr3:uid="{00000000-0010-0000-2400-00000E000000}" name="Budget 16/17" totalsRowFunction="sum" dataDxfId="1461" totalsRowDxfId="1462" dataCellStyle="Currency"/>
    <tableColumn id="15" xr3:uid="{00000000-0010-0000-2400-00000F000000}" name="Actual 16/17" totalsRowFunction="sum" dataDxfId="1459" totalsRowDxfId="1460" dataCellStyle="Currency"/>
    <tableColumn id="16" xr3:uid="{00000000-0010-0000-2400-000010000000}" name="Budget 17/18" totalsRowFunction="sum" dataDxfId="1457" totalsRowDxfId="1458" dataCellStyle="Currency"/>
    <tableColumn id="17" xr3:uid="{00000000-0010-0000-2400-000011000000}" name="Actual 17/18" totalsRowFunction="custom" dataDxfId="1455" totalsRowDxfId="1456" dataCellStyle="Currency">
      <totalsRowFormula>SUBTOTAL(109,WomensCentreRevenues[Revenues])</totalsRowFormula>
    </tableColumn>
    <tableColumn id="18" xr3:uid="{00000000-0010-0000-2400-000012000000}" name="Budget 18/19" totalsRowFunction="custom" dataDxfId="1453" totalsRowDxfId="1454" dataCellStyle="Currency">
      <totalsRowFormula>SUBTOTAL(109,WomensCentreRevenues[Budget 10/11])</totalsRowFormula>
    </tableColumn>
    <tableColumn id="19" xr3:uid="{00000000-0010-0000-2400-000013000000}" name="Budget 19/20" totalsRowFunction="custom" dataDxfId="1451" totalsRowDxfId="1452" dataCellStyle="Currency">
      <totalsRowFormula>SUBTOTAL(109,WomensCentreRevenues[Actual 10/11])</totalsRowFormula>
    </tableColumn>
    <tableColumn id="20" xr3:uid="{00000000-0010-0000-2400-000014000000}" name="Budget 19/21" dataDxfId="1449" totalsRowDxfId="1450" dataCellStyle="Currency"/>
  </tableColumns>
  <tableStyleInfo name="Feds Budget" showFirstColumn="0" showLastColumn="0" showRowStripes="0" showColumnStripes="1"/>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25000000}" name="WomensCentreExpenses" displayName="WomensCentreExpenses" ref="B11:U36" totalsRowCount="1" headerRowDxfId="1448" dataDxfId="1447" dataCellStyle="Currency">
  <tableColumns count="20">
    <tableColumn id="1" xr3:uid="{00000000-0010-0000-2500-000001000000}" name="Expenses" totalsRowLabel="Total" dataDxfId="1445" totalsRowDxfId="1446" dataCellStyle="Comma"/>
    <tableColumn id="2" xr3:uid="{00000000-0010-0000-2500-000002000000}" name="Budget 10/11" totalsRowFunction="sum" dataDxfId="1443" totalsRowDxfId="1444" dataCellStyle="Currency"/>
    <tableColumn id="3" xr3:uid="{00000000-0010-0000-2500-000003000000}" name="Actual 10/11" totalsRowFunction="sum" dataDxfId="1441" totalsRowDxfId="1442" dataCellStyle="Currency"/>
    <tableColumn id="4" xr3:uid="{00000000-0010-0000-2500-000004000000}" name="Budget 11/12" totalsRowFunction="sum" dataDxfId="1439" totalsRowDxfId="1440" dataCellStyle="Currency"/>
    <tableColumn id="5" xr3:uid="{00000000-0010-0000-2500-000005000000}" name="Actual 11/12" totalsRowFunction="sum" dataDxfId="1437" totalsRowDxfId="1438" dataCellStyle="Currency"/>
    <tableColumn id="6" xr3:uid="{00000000-0010-0000-2500-000006000000}" name="Budget 12/13" totalsRowFunction="sum" dataDxfId="1435" totalsRowDxfId="1436" dataCellStyle="Currency"/>
    <tableColumn id="7" xr3:uid="{00000000-0010-0000-2500-000007000000}" name="Actual 12/13" totalsRowFunction="sum" dataDxfId="1433" totalsRowDxfId="1434" dataCellStyle="Currency"/>
    <tableColumn id="8" xr3:uid="{00000000-0010-0000-2500-000008000000}" name="Budget 13/14" totalsRowFunction="sum" dataDxfId="1431" totalsRowDxfId="1432" dataCellStyle="Currency"/>
    <tableColumn id="9" xr3:uid="{00000000-0010-0000-2500-000009000000}" name="Actual 13/14" totalsRowFunction="sum" dataDxfId="1429" totalsRowDxfId="1430" dataCellStyle="Currency"/>
    <tableColumn id="10" xr3:uid="{00000000-0010-0000-2500-00000A000000}" name="Budget 14/15" totalsRowFunction="sum" dataDxfId="1427" totalsRowDxfId="1428" dataCellStyle="Currency"/>
    <tableColumn id="11" xr3:uid="{00000000-0010-0000-2500-00000B000000}" name="Actual 14/15" totalsRowFunction="sum" dataDxfId="1425" totalsRowDxfId="1426" dataCellStyle="Currency"/>
    <tableColumn id="12" xr3:uid="{00000000-0010-0000-2500-00000C000000}" name="Budget 15/16" totalsRowFunction="sum" dataDxfId="1423" totalsRowDxfId="1424" dataCellStyle="Currency"/>
    <tableColumn id="13" xr3:uid="{00000000-0010-0000-2500-00000D000000}" name="Actual 15/16" totalsRowFunction="sum" dataDxfId="1421" totalsRowDxfId="1422" dataCellStyle="Currency"/>
    <tableColumn id="14" xr3:uid="{00000000-0010-0000-2500-00000E000000}" name="Budget 16/17" totalsRowFunction="sum" dataDxfId="1419" totalsRowDxfId="1420" dataCellStyle="Currency"/>
    <tableColumn id="15" xr3:uid="{00000000-0010-0000-2500-00000F000000}" name="Actual 16/17" totalsRowFunction="sum" dataDxfId="1417" totalsRowDxfId="1418" dataCellStyle="Currency"/>
    <tableColumn id="16" xr3:uid="{00000000-0010-0000-2500-000010000000}" name="Budget 17/18" totalsRowFunction="sum" dataDxfId="1415" totalsRowDxfId="1416" dataCellStyle="Currency"/>
    <tableColumn id="17" xr3:uid="{00000000-0010-0000-2500-000011000000}" name="Actual 17/18" totalsRowFunction="custom" dataDxfId="1413" totalsRowDxfId="1414" dataCellStyle="Currency">
      <totalsRowFormula>SUM(WomensCentreExpenses[Actual 17/18])</totalsRowFormula>
    </tableColumn>
    <tableColumn id="18" xr3:uid="{00000000-0010-0000-2500-000012000000}" name="Budget 18/19" totalsRowFunction="custom" dataDxfId="1411" totalsRowDxfId="1412" dataCellStyle="Currency">
      <totalsRowFormula>SUM(WomensCentreExpenses[Budget 18/19])</totalsRowFormula>
    </tableColumn>
    <tableColumn id="19" xr3:uid="{00000000-0010-0000-2500-000013000000}" name="Budget 19/20" totalsRowFunction="custom" dataDxfId="1409" totalsRowDxfId="1410" dataCellStyle="Currency">
      <totalsRowFormula>SUM(WomensCentreExpenses[Budget 19/20])</totalsRowFormula>
    </tableColumn>
    <tableColumn id="20" xr3:uid="{00000000-0010-0000-2500-000014000000}" name="Budget 19/21" dataDxfId="1407" totalsRowDxfId="1408" dataCellStyle="Currency"/>
  </tableColumns>
  <tableStyleInfo name="Feds Budget" showFirstColumn="0" showLastColumn="0" showRowStripes="0" showColumnStripes="1"/>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26000000}" name="BikeCentreRevenues" displayName="BikeCentreRevenues" ref="B4:K7" totalsRowCount="1" headerRowDxfId="1406" dataDxfId="1405" dataCellStyle="Currency 2 2 2">
  <tableColumns count="10">
    <tableColumn id="1" xr3:uid="{00000000-0010-0000-2600-000001000000}" name="Revenues" totalsRowLabel="Total" dataDxfId="1403" totalsRowDxfId="1404" dataCellStyle="Normal 2 2"/>
    <tableColumn id="2" xr3:uid="{00000000-0010-0000-2600-000002000000}" name="Budget 15/16" totalsRowFunction="sum" dataDxfId="1401" totalsRowDxfId="1402" dataCellStyle="Currency 2 2 2"/>
    <tableColumn id="3" xr3:uid="{00000000-0010-0000-2600-000003000000}" name="Actual 15/16" totalsRowFunction="sum" dataDxfId="1399" totalsRowDxfId="1400" dataCellStyle="Currency 2 2 2"/>
    <tableColumn id="4" xr3:uid="{00000000-0010-0000-2600-000004000000}" name="Budget 16/17" totalsRowFunction="sum" dataDxfId="1397" totalsRowDxfId="1398" dataCellStyle="Currency 2 2 2"/>
    <tableColumn id="5" xr3:uid="{00000000-0010-0000-2600-000005000000}" name="Actual 16/17" totalsRowFunction="sum" dataDxfId="1395" totalsRowDxfId="1396" dataCellStyle="Currency 2 2 2"/>
    <tableColumn id="6" xr3:uid="{00000000-0010-0000-2600-000006000000}" name="Budget 17/18" totalsRowFunction="sum" dataDxfId="1393" totalsRowDxfId="1394" dataCellStyle="Currency 2 2 2"/>
    <tableColumn id="7" xr3:uid="{00000000-0010-0000-2600-000007000000}" name="Actual 17/18" totalsRowFunction="custom" dataDxfId="1391" totalsRowDxfId="1392" dataCellStyle="Currency">
      <totalsRowFormula>SUM(BikeCentreRevenues[Actual 17/18])</totalsRowFormula>
    </tableColumn>
    <tableColumn id="8" xr3:uid="{00000000-0010-0000-2600-000008000000}" name="Budget 18/19" totalsRowFunction="custom" dataDxfId="1389" totalsRowDxfId="1390" dataCellStyle="Currency">
      <totalsRowFormula>SUM(BikeCentreRevenues[Budget 18/19])</totalsRowFormula>
    </tableColumn>
    <tableColumn id="9" xr3:uid="{00000000-0010-0000-2600-000009000000}" name="Budget 19/20" totalsRowFunction="custom" dataDxfId="1387" totalsRowDxfId="1388" dataCellStyle="Currency">
      <totalsRowFormula>SUM(BikeCentreRevenues[Budget 19/20])</totalsRowFormula>
    </tableColumn>
    <tableColumn id="10" xr3:uid="{00000000-0010-0000-2600-00000A000000}" name="Budget 19/21" dataDxfId="1385" totalsRowDxfId="1386" dataCellStyle="Currency"/>
  </tableColumns>
  <tableStyleInfo name="Feds Budget" showFirstColumn="0" showLastColumn="0" showRowStripes="0" showColumnStripes="1"/>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3000000}" name="PresidentSummary70" displayName="PresidentSummary70" ref="A4:U10" totalsRowCount="1" headerRowDxfId="2787" dataDxfId="2786" headerRowBorderDxfId="2784" tableBorderDxfId="2785">
  <tableColumns count="21">
    <tableColumn id="1" xr3:uid="{00000000-0010-0000-0300-000001000000}" name="Summary of Revenues/Gross Profit" totalsRowLabel="Total" totalsRowDxfId="2783"/>
    <tableColumn id="3" xr3:uid="{00000000-0010-0000-0300-000003000000}" name="Column1" dataDxfId="2781" totalsRowDxfId="2782" dataCellStyle="Currency 2"/>
    <tableColumn id="4" xr3:uid="{00000000-0010-0000-0300-000004000000}" name="Column2" dataDxfId="2779" totalsRowDxfId="2780" dataCellStyle="Currency 2"/>
    <tableColumn id="5" xr3:uid="{00000000-0010-0000-0300-000005000000}" name="Column3" dataDxfId="2777" totalsRowDxfId="2778" dataCellStyle="Currency 2"/>
    <tableColumn id="6" xr3:uid="{00000000-0010-0000-0300-000006000000}" name="Column4" dataDxfId="2775" totalsRowDxfId="2776" dataCellStyle="Currency 2"/>
    <tableColumn id="7" xr3:uid="{00000000-0010-0000-0300-000007000000}" name="Column5" dataDxfId="2773" totalsRowDxfId="2774" dataCellStyle="Currency 2"/>
    <tableColumn id="8" xr3:uid="{00000000-0010-0000-0300-000008000000}" name="Column6" dataDxfId="2771" totalsRowDxfId="2772" dataCellStyle="Currency 2"/>
    <tableColumn id="9" xr3:uid="{00000000-0010-0000-0300-000009000000}" name="Column7" dataDxfId="2769" totalsRowDxfId="2770" dataCellStyle="Currency 2"/>
    <tableColumn id="2" xr3:uid="{00000000-0010-0000-0300-000002000000}" name="Column8" dataDxfId="2767" totalsRowDxfId="2768" dataCellStyle="Currency 2"/>
    <tableColumn id="10" xr3:uid="{00000000-0010-0000-0300-00000A000000}" name="Column9" dataDxfId="2765" totalsRowDxfId="2766" dataCellStyle="Currency 2"/>
    <tableColumn id="11" xr3:uid="{00000000-0010-0000-0300-00000B000000}" name="Column10" dataDxfId="2763" totalsRowDxfId="2764" dataCellStyle="Currency 2"/>
    <tableColumn id="12" xr3:uid="{00000000-0010-0000-0300-00000C000000}" name="Budget 15/16" dataDxfId="2761" totalsRowDxfId="2762" dataCellStyle="Currency 2"/>
    <tableColumn id="13" xr3:uid="{00000000-0010-0000-0300-00000D000000}" name="Actual 15/16" dataDxfId="2759" totalsRowDxfId="2760" dataCellStyle="Currency 2"/>
    <tableColumn id="14" xr3:uid="{00000000-0010-0000-0300-00000E000000}" name="Budget 16/17" dataDxfId="2757" totalsRowDxfId="2758" dataCellStyle="Currency 2"/>
    <tableColumn id="15" xr3:uid="{00000000-0010-0000-0300-00000F000000}" name="Actual 16/17" dataDxfId="2755" totalsRowDxfId="2756"/>
    <tableColumn id="16" xr3:uid="{00000000-0010-0000-0300-000010000000}" name="Budget 17/18" dataDxfId="2753" totalsRowDxfId="2754"/>
    <tableColumn id="17" xr3:uid="{00000000-0010-0000-0300-000011000000}" name="Actual 17/18" dataDxfId="2751" totalsRowDxfId="2752"/>
    <tableColumn id="18" xr3:uid="{00000000-0010-0000-0300-000012000000}" name="Budget 18/19" totalsRowFunction="sum" dataDxfId="2749" totalsRowDxfId="2750" dataCellStyle="Currency"/>
    <tableColumn id="21" xr3:uid="{00000000-0010-0000-0300-000015000000}" name="Actual 18/19" totalsRowFunction="sum" dataDxfId="2747" totalsRowDxfId="2748" dataCellStyle="Currency 2">
      <calculatedColumnFormula>PresidentRevenues[Actual 18/19]</calculatedColumnFormula>
    </tableColumn>
    <tableColumn id="19" xr3:uid="{00000000-0010-0000-0300-000013000000}" name="Budget 19/20" totalsRowFunction="sum" dataDxfId="2745" totalsRowDxfId="2746" dataCellStyle="Currency"/>
    <tableColumn id="20" xr3:uid="{00000000-0010-0000-0300-000014000000}" name="Budget 19/21" dataDxfId="2743" totalsRowDxfId="2744" dataCellStyle="Currency"/>
  </tableColumns>
  <tableStyleInfo name="Feds Budget" showFirstColumn="0" showLastColumn="0" showRowStripes="0" showColumnStripes="1"/>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27000000}" name="BikeCentreExpenses" displayName="BikeCentreExpenses" ref="B10:K28" totalsRowCount="1" headerRowDxfId="1384" dataDxfId="1383" dataCellStyle="Currency 2 2 2">
  <sortState xmlns:xlrd2="http://schemas.microsoft.com/office/spreadsheetml/2017/richdata2" ref="A11:E21">
    <sortCondition ref="A11:A21"/>
  </sortState>
  <tableColumns count="10">
    <tableColumn id="1" xr3:uid="{00000000-0010-0000-2700-000001000000}" name="Expenses" totalsRowLabel="Total" dataDxfId="1381" totalsRowDxfId="1382" dataCellStyle="Normal 2 2"/>
    <tableColumn id="2" xr3:uid="{00000000-0010-0000-2700-000002000000}" name="Budget 15/16" totalsRowFunction="sum" dataDxfId="1379" totalsRowDxfId="1380" dataCellStyle="Currency 2 2 2"/>
    <tableColumn id="3" xr3:uid="{00000000-0010-0000-2700-000003000000}" name="Actual 15/16" totalsRowFunction="sum" dataDxfId="1377" totalsRowDxfId="1378" dataCellStyle="Currency 2 2 2"/>
    <tableColumn id="4" xr3:uid="{00000000-0010-0000-2700-000004000000}" name="Budget 16/17" totalsRowFunction="sum" dataDxfId="1375" totalsRowDxfId="1376" dataCellStyle="Currency 2 2 2"/>
    <tableColumn id="5" xr3:uid="{00000000-0010-0000-2700-000005000000}" name="Actual 16/17" totalsRowFunction="sum" dataDxfId="1373" totalsRowDxfId="1374" dataCellStyle="Currency 2 2 2"/>
    <tableColumn id="6" xr3:uid="{00000000-0010-0000-2700-000006000000}" name="Budget 17/18" totalsRowFunction="sum" dataDxfId="1371" totalsRowDxfId="1372" dataCellStyle="Currency 2 2 2"/>
    <tableColumn id="7" xr3:uid="{00000000-0010-0000-2700-000007000000}" name="Actual 17/18" totalsRowFunction="sum" dataDxfId="1369" totalsRowDxfId="1370" dataCellStyle="Currency"/>
    <tableColumn id="8" xr3:uid="{00000000-0010-0000-2700-000008000000}" name="Budget 18/19" totalsRowFunction="custom" dataDxfId="1367" totalsRowDxfId="1368" dataCellStyle="Currency">
      <totalsRowFormula>SUM(BikeCentreExpenses[Budget 18/19])</totalsRowFormula>
    </tableColumn>
    <tableColumn id="9" xr3:uid="{00000000-0010-0000-2700-000009000000}" name="Budget 19/20" totalsRowFunction="custom" dataDxfId="1365" totalsRowDxfId="1366" dataCellStyle="Currency">
      <totalsRowFormula>SUM(BikeCentreExpenses[Budget 19/20])</totalsRowFormula>
    </tableColumn>
    <tableColumn id="10" xr3:uid="{00000000-0010-0000-2700-00000A000000}" name="Budget 19/21" dataDxfId="1363" totalsRowDxfId="1364" dataCellStyle="Currency"/>
  </tableColumns>
  <tableStyleInfo name="Feds Budget" showFirstColumn="0" showLastColumn="0" showRowStripes="0" showColumnStripes="1"/>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28000000}" name="ICSNRevenues" displayName="ICSNRevenues" ref="B4:M12" totalsRowCount="1" headerRowDxfId="1362" dataDxfId="1361" dataCellStyle="Currency">
  <tableColumns count="12">
    <tableColumn id="1" xr3:uid="{00000000-0010-0000-2800-000001000000}" name="Revenues" totalsRowLabel="Total" dataDxfId="1359" totalsRowDxfId="1360"/>
    <tableColumn id="2" xr3:uid="{00000000-0010-0000-2800-000002000000}" name="Budget 14/15" totalsRowFunction="sum" dataDxfId="1357" totalsRowDxfId="1358" dataCellStyle="Currency"/>
    <tableColumn id="3" xr3:uid="{00000000-0010-0000-2800-000003000000}" name="Actual 14/15" totalsRowFunction="sum" dataDxfId="1355" totalsRowDxfId="1356" dataCellStyle="Currency"/>
    <tableColumn id="4" xr3:uid="{00000000-0010-0000-2800-000004000000}" name="Budget 15/16" totalsRowFunction="sum" dataDxfId="1353" totalsRowDxfId="1354" dataCellStyle="Currency"/>
    <tableColumn id="7" xr3:uid="{00000000-0010-0000-2800-000007000000}" name="Actual 15/16" totalsRowFunction="sum" dataDxfId="1351" totalsRowDxfId="1352" dataCellStyle="Currency"/>
    <tableColumn id="8" xr3:uid="{00000000-0010-0000-2800-000008000000}" name="Budget 16/17" totalsRowFunction="sum" dataDxfId="1349" totalsRowDxfId="1350" dataCellStyle="Currency"/>
    <tableColumn id="5" xr3:uid="{00000000-0010-0000-2800-000005000000}" name="Actuan 16/17" totalsRowFunction="sum" dataDxfId="1347" totalsRowDxfId="1348" dataCellStyle="Currency"/>
    <tableColumn id="6" xr3:uid="{00000000-0010-0000-2800-000006000000}" name="Budget 17/18" totalsRowFunction="sum" dataDxfId="1345" totalsRowDxfId="1346" dataCellStyle="Currency"/>
    <tableColumn id="9" xr3:uid="{00000000-0010-0000-2800-000009000000}" name="Actual 17/18" totalsRowFunction="sum" dataDxfId="1343" totalsRowDxfId="1344" dataCellStyle="Currency"/>
    <tableColumn id="10" xr3:uid="{00000000-0010-0000-2800-00000A000000}" name="Budget 18/19" totalsRowFunction="sum" dataDxfId="1341" totalsRowDxfId="1342" dataCellStyle="Currency"/>
    <tableColumn id="11" xr3:uid="{00000000-0010-0000-2800-00000B000000}" name="Budget 19/20" totalsRowFunction="sum" dataDxfId="1339" totalsRowDxfId="1340" dataCellStyle="Currency"/>
    <tableColumn id="12" xr3:uid="{00000000-0010-0000-2800-00000C000000}" name="Budget 19/21" dataDxfId="1337" totalsRowDxfId="1338" dataCellStyle="Currency"/>
  </tableColumns>
  <tableStyleInfo name="Feds Budget" showFirstColumn="0" showLastColumn="0" showRowStripes="0" showColumnStripes="1"/>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29000000}" name="ICSNCostofSales" displayName="ICSNCostofSales" ref="B14:M18" totalsRowCount="1" headerRowDxfId="1336" dataDxfId="1335">
  <tableColumns count="12">
    <tableColumn id="1" xr3:uid="{00000000-0010-0000-2900-000001000000}" name="Cost of Sales" totalsRowLabel="Total" dataDxfId="1333" totalsRowDxfId="1334"/>
    <tableColumn id="2" xr3:uid="{00000000-0010-0000-2900-000002000000}" name="Budget 14/15" totalsRowFunction="sum" dataDxfId="1331" totalsRowDxfId="1332"/>
    <tableColumn id="3" xr3:uid="{00000000-0010-0000-2900-000003000000}" name="Actual 14/15" totalsRowFunction="sum" dataDxfId="1329" totalsRowDxfId="1330"/>
    <tableColumn id="4" xr3:uid="{00000000-0010-0000-2900-000004000000}" name="Budget 15/16" totalsRowFunction="sum" dataDxfId="1327" totalsRowDxfId="1328"/>
    <tableColumn id="5" xr3:uid="{00000000-0010-0000-2900-000005000000}" name="Actual 15/16" totalsRowFunction="sum" dataDxfId="1325" totalsRowDxfId="1326" dataCellStyle="Currency"/>
    <tableColumn id="6" xr3:uid="{00000000-0010-0000-2900-000006000000}" name="Budget 16/17" totalsRowFunction="sum" dataDxfId="1323" totalsRowDxfId="1324"/>
    <tableColumn id="7" xr3:uid="{00000000-0010-0000-2900-000007000000}" name="Actual 16/17" totalsRowFunction="sum" dataDxfId="1321" totalsRowDxfId="1322"/>
    <tableColumn id="8" xr3:uid="{00000000-0010-0000-2900-000008000000}" name="Budget 17/18" totalsRowFunction="sum" dataDxfId="1319" totalsRowDxfId="1320"/>
    <tableColumn id="9" xr3:uid="{00000000-0010-0000-2900-000009000000}" name="Actual 17/18" totalsRowFunction="sum" dataDxfId="1317" totalsRowDxfId="1318" dataCellStyle="Currency"/>
    <tableColumn id="10" xr3:uid="{00000000-0010-0000-2900-00000A000000}" name="Budget 18/19" totalsRowFunction="sum" dataDxfId="1315" totalsRowDxfId="1316" dataCellStyle="Currency"/>
    <tableColumn id="11" xr3:uid="{00000000-0010-0000-2900-00000B000000}" name="Budget 19/20" totalsRowFunction="sum" dataDxfId="1313" totalsRowDxfId="1314" dataCellStyle="Currency"/>
    <tableColumn id="12" xr3:uid="{00000000-0010-0000-2900-00000C000000}" name="Budget 19/21" dataDxfId="1311" totalsRowDxfId="1312" dataCellStyle="Currency"/>
  </tableColumns>
  <tableStyleInfo name="Feds Budget" showFirstColumn="0" showLastColumn="0" showRowStripes="0" showColumnStripes="1"/>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2A000000}" name="ICSNExpenses" displayName="ICSNExpenses" ref="B23:M33" totalsRowCount="1" headerRowDxfId="1310">
  <tableColumns count="12">
    <tableColumn id="1" xr3:uid="{00000000-0010-0000-2A00-000001000000}" name="Expenses" totalsRowLabel="Total" dataDxfId="1308" totalsRowDxfId="1309"/>
    <tableColumn id="2" xr3:uid="{00000000-0010-0000-2A00-000002000000}" name="Budget 14/15" totalsRowFunction="sum" dataDxfId="1306" totalsRowDxfId="1307" dataCellStyle="Currency"/>
    <tableColumn id="3" xr3:uid="{00000000-0010-0000-2A00-000003000000}" name="Actual 14/15" totalsRowFunction="sum" dataDxfId="1304" totalsRowDxfId="1305" dataCellStyle="Currency"/>
    <tableColumn id="4" xr3:uid="{00000000-0010-0000-2A00-000004000000}" name="Budget 15/16" totalsRowFunction="sum" dataDxfId="1302" totalsRowDxfId="1303" dataCellStyle="Currency 2 2 2 2 2"/>
    <tableColumn id="5" xr3:uid="{00000000-0010-0000-2A00-000005000000}" name="Actual 15/16" totalsRowFunction="sum" dataDxfId="1300" totalsRowDxfId="1301" dataCellStyle="Currency"/>
    <tableColumn id="6" xr3:uid="{00000000-0010-0000-2A00-000006000000}" name="Budget 16/17" totalsRowFunction="sum" dataDxfId="1298" totalsRowDxfId="1299" dataCellStyle="Currency 2 2 2 2 2"/>
    <tableColumn id="7" xr3:uid="{00000000-0010-0000-2A00-000007000000}" name="Actual 16/17" totalsRowFunction="sum" dataDxfId="1296" totalsRowDxfId="1297" dataCellStyle="Currency"/>
    <tableColumn id="8" xr3:uid="{00000000-0010-0000-2A00-000008000000}" name="Budget 17/18" totalsRowFunction="sum" dataDxfId="1294" totalsRowDxfId="1295" dataCellStyle="Currency"/>
    <tableColumn id="9" xr3:uid="{00000000-0010-0000-2A00-000009000000}" name="Actual 17/18" totalsRowFunction="custom" dataDxfId="1292" totalsRowDxfId="1293" dataCellStyle="Currency">
      <totalsRowFormula>SUM(ICSNExpenses[Actual 17/18])</totalsRowFormula>
    </tableColumn>
    <tableColumn id="10" xr3:uid="{00000000-0010-0000-2A00-00000A000000}" name="Budget 18/19" totalsRowFunction="custom" dataDxfId="1290" totalsRowDxfId="1291" dataCellStyle="Currency">
      <totalsRowFormula>SUM(ICSNExpenses[Budget 18/19])</totalsRowFormula>
    </tableColumn>
    <tableColumn id="11" xr3:uid="{00000000-0010-0000-2A00-00000B000000}" name="Budget 19/20" totalsRowFunction="custom" dataDxfId="1288" totalsRowDxfId="1289" dataCellStyle="Currency">
      <totalsRowFormula>SUM(ICSNExpenses[Budget 19/20])</totalsRowFormula>
    </tableColumn>
    <tableColumn id="12" xr3:uid="{00000000-0010-0000-2A00-00000C000000}" name="Budget 19/21" dataDxfId="1286" totalsRowDxfId="1287" dataCellStyle="Currency"/>
  </tableColumns>
  <tableStyleInfo name="Feds Budget" showFirstColumn="0" showLastColumn="0" showRowStripes="0" showColumnStripes="1"/>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2B000000}" name="CoopConnectionRevenues" displayName="CoopConnectionRevenues" ref="B4:K9" totalsRowCount="1">
  <tableColumns count="10">
    <tableColumn id="1" xr3:uid="{00000000-0010-0000-2B00-000001000000}" name="Revenues" totalsRowLabel="Total" dataDxfId="1284" totalsRowDxfId="1285"/>
    <tableColumn id="2" xr3:uid="{00000000-0010-0000-2B00-000002000000}" name="Budget 15/16" totalsRowFunction="sum" dataDxfId="1282" totalsRowDxfId="1283" dataCellStyle="Currency"/>
    <tableColumn id="3" xr3:uid="{00000000-0010-0000-2B00-000003000000}" name="Actual 15/16" totalsRowFunction="sum" dataDxfId="1280" totalsRowDxfId="1281" dataCellStyle="Currency"/>
    <tableColumn id="4" xr3:uid="{00000000-0010-0000-2B00-000004000000}" name="Budget 16/17" totalsRowFunction="sum" dataDxfId="1278" totalsRowDxfId="1279" dataCellStyle="Currency"/>
    <tableColumn id="5" xr3:uid="{00000000-0010-0000-2B00-000005000000}" name="Actual 16/17" totalsRowFunction="sum" dataDxfId="1276" totalsRowDxfId="1277" dataCellStyle="Currency"/>
    <tableColumn id="6" xr3:uid="{00000000-0010-0000-2B00-000006000000}" name="Budget 17/18" totalsRowFunction="sum" dataDxfId="1274" totalsRowDxfId="1275" dataCellStyle="Currency"/>
    <tableColumn id="7" xr3:uid="{00000000-0010-0000-2B00-000007000000}" name="Actual 17/18" totalsRowFunction="sum" dataDxfId="1272" totalsRowDxfId="1273" dataCellStyle="Currency"/>
    <tableColumn id="8" xr3:uid="{00000000-0010-0000-2B00-000008000000}" name="Budget 18/19" totalsRowFunction="custom" dataDxfId="1270" totalsRowDxfId="1271" dataCellStyle="Currency">
      <totalsRowFormula>SUM(CoopConnectionRevenues[Budget 18/19])</totalsRowFormula>
    </tableColumn>
    <tableColumn id="9" xr3:uid="{00000000-0010-0000-2B00-000009000000}" name="Budget 19/20" totalsRowFunction="custom" dataDxfId="1268" totalsRowDxfId="1269" dataCellStyle="Currency">
      <totalsRowFormula>SUM(CoopConnectionRevenues[Budget 19/20])</totalsRowFormula>
    </tableColumn>
    <tableColumn id="10" xr3:uid="{00000000-0010-0000-2B00-00000A000000}" name="Budget 19/21" dataDxfId="1266" totalsRowDxfId="1267" dataCellStyle="Currency"/>
  </tableColumns>
  <tableStyleInfo name="Feds Budget" showFirstColumn="0" showLastColumn="0" showRowStripes="0" showColumnStripes="1"/>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2C000000}" name="CoopConnectionExpenses" displayName="CoopConnectionExpenses" ref="B11:K21" totalsRowCount="1" headerRowDxfId="1265" dataDxfId="1264">
  <tableColumns count="10">
    <tableColumn id="1" xr3:uid="{00000000-0010-0000-2C00-000001000000}" name="Expenses" totalsRowLabel="Total" dataDxfId="1262" totalsRowDxfId="1263"/>
    <tableColumn id="2" xr3:uid="{00000000-0010-0000-2C00-000002000000}" name="Budget 15/16" totalsRowFunction="sum" dataDxfId="1260" totalsRowDxfId="1261" dataCellStyle="Currency"/>
    <tableColumn id="3" xr3:uid="{00000000-0010-0000-2C00-000003000000}" name="Actual 15/16" totalsRowFunction="sum" dataDxfId="1258" totalsRowDxfId="1259" dataCellStyle="Currency"/>
    <tableColumn id="4" xr3:uid="{00000000-0010-0000-2C00-000004000000}" name="Budget 16/17" totalsRowFunction="sum" dataDxfId="1256" totalsRowDxfId="1257" dataCellStyle="Currency"/>
    <tableColumn id="5" xr3:uid="{00000000-0010-0000-2C00-000005000000}" name="Actual 16/17" totalsRowFunction="sum" dataDxfId="1254" totalsRowDxfId="1255" dataCellStyle="Currency"/>
    <tableColumn id="6" xr3:uid="{00000000-0010-0000-2C00-000006000000}" name="Budget 17/18" totalsRowFunction="sum" dataDxfId="1252" totalsRowDxfId="1253" dataCellStyle="Currency"/>
    <tableColumn id="7" xr3:uid="{00000000-0010-0000-2C00-000007000000}" name="Actual 17/18" totalsRowFunction="sum" dataDxfId="1250" totalsRowDxfId="1251" dataCellStyle="Currency"/>
    <tableColumn id="8" xr3:uid="{00000000-0010-0000-2C00-000008000000}" name="Budget 18/19" totalsRowFunction="custom" dataDxfId="1248" totalsRowDxfId="1249" dataCellStyle="Currency">
      <totalsRowFormula>SUM(I12:I20)</totalsRowFormula>
    </tableColumn>
    <tableColumn id="9" xr3:uid="{00000000-0010-0000-2C00-000009000000}" name="Budget 19/20" totalsRowFunction="custom" dataDxfId="1246" totalsRowDxfId="1247" dataCellStyle="Currency">
      <totalsRowFormula>SUM(J12:J20)</totalsRowFormula>
    </tableColumn>
    <tableColumn id="10" xr3:uid="{00000000-0010-0000-2C00-00000A000000}" name="Budget 19/21" dataDxfId="1244" totalsRowDxfId="1245" dataCellStyle="Currency"/>
  </tableColumns>
  <tableStyleInfo name="Feds Budget" showFirstColumn="0" showLastColumn="0" showRowStripes="0" showColumnStripes="1"/>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D000000}" name="VolunteerCentreRevenues" displayName="VolunteerCentreRevenues" ref="B4:K6" totalsRowCount="1">
  <tableColumns count="10">
    <tableColumn id="1" xr3:uid="{00000000-0010-0000-2D00-000001000000}" name="Revenues" totalsRowLabel="Total" dataDxfId="1242" totalsRowDxfId="1243"/>
    <tableColumn id="3" xr3:uid="{00000000-0010-0000-2D00-000003000000}" name="Budget 15/16" totalsRowFunction="sum" dataDxfId="1240" totalsRowDxfId="1241"/>
    <tableColumn id="4" xr3:uid="{00000000-0010-0000-2D00-000004000000}" name="Actual 15/16" totalsRowFunction="sum" dataDxfId="1238" totalsRowDxfId="1239"/>
    <tableColumn id="5" xr3:uid="{00000000-0010-0000-2D00-000005000000}" name="Budget 16/17" totalsRowFunction="sum" dataDxfId="1236" totalsRowDxfId="1237"/>
    <tableColumn id="2" xr3:uid="{00000000-0010-0000-2D00-000002000000}" name="Actual 16/17" totalsRowFunction="sum" dataDxfId="1234" totalsRowDxfId="1235"/>
    <tableColumn id="6" xr3:uid="{00000000-0010-0000-2D00-000006000000}" name="Budget 17/18" totalsRowFunction="sum" dataDxfId="1232" totalsRowDxfId="1233"/>
    <tableColumn id="7" xr3:uid="{00000000-0010-0000-2D00-000007000000}" name="Actual 17/18" totalsRowFunction="custom" dataDxfId="1230" totalsRowDxfId="1231">
      <totalsRowFormula>SUBTOTAL(109,VolunteerCentreRevenues[Revenues])</totalsRowFormula>
    </tableColumn>
    <tableColumn id="8" xr3:uid="{00000000-0010-0000-2D00-000008000000}" name="Budge 18/19" dataDxfId="1228" totalsRowDxfId="1229"/>
    <tableColumn id="9" xr3:uid="{00000000-0010-0000-2D00-000009000000}" name="Budge 19/20" dataDxfId="1226" totalsRowDxfId="1227"/>
    <tableColumn id="10" xr3:uid="{00000000-0010-0000-2D00-00000A000000}" name="Budge 20/21" dataDxfId="1224" totalsRowDxfId="1225"/>
  </tableColumns>
  <tableStyleInfo name="Feds Budget" showFirstColumn="0" showLastColumn="0" showRowStripes="0" showColumnStripes="1"/>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E000000}" name="VolunteerCentreExpenses" displayName="VolunteerCentreExpenses" ref="B8:K19" totalsRowCount="1" headerRowDxfId="1223" headerRowCellStyle="Currency">
  <sortState xmlns:xlrd2="http://schemas.microsoft.com/office/spreadsheetml/2017/richdata2" ref="A9:E17">
    <sortCondition ref="A8:A17"/>
  </sortState>
  <tableColumns count="10">
    <tableColumn id="1" xr3:uid="{00000000-0010-0000-2E00-000001000000}" name="Expenses" totalsRowLabel="Total" dataDxfId="1221" totalsRowDxfId="1222"/>
    <tableColumn id="3" xr3:uid="{00000000-0010-0000-2E00-000003000000}" name="Budget 15/16" totalsRowFunction="sum" dataDxfId="1219" totalsRowDxfId="1220"/>
    <tableColumn id="4" xr3:uid="{00000000-0010-0000-2E00-000004000000}" name="Actual 15/16" totalsRowFunction="sum" dataDxfId="1217" totalsRowDxfId="1218"/>
    <tableColumn id="5" xr3:uid="{00000000-0010-0000-2E00-000005000000}" name="Budget 16/17" totalsRowFunction="sum" dataDxfId="1215" totalsRowDxfId="1216"/>
    <tableColumn id="2" xr3:uid="{00000000-0010-0000-2E00-000002000000}" name="Actual 16/17" totalsRowFunction="sum" dataDxfId="1213" totalsRowDxfId="1214" dataCellStyle="Currency"/>
    <tableColumn id="6" xr3:uid="{00000000-0010-0000-2E00-000006000000}" name="Budget 17/18" totalsRowFunction="sum" totalsRowDxfId="1212" dataCellStyle="Currency"/>
    <tableColumn id="7" xr3:uid="{00000000-0010-0000-2E00-000007000000}" name="Actual 17/18" totalsRowFunction="sum" dataDxfId="1210" totalsRowDxfId="1211" dataCellStyle="Currency"/>
    <tableColumn id="8" xr3:uid="{00000000-0010-0000-2E00-000008000000}" name="Budget 18/19" totalsRowFunction="sum" dataDxfId="1208" totalsRowDxfId="1209" dataCellStyle="Currency"/>
    <tableColumn id="9" xr3:uid="{00000000-0010-0000-2E00-000009000000}" name="Budget 19/20" totalsRowFunction="sum" dataDxfId="1206" totalsRowDxfId="1207" dataCellStyle="Currency"/>
    <tableColumn id="10" xr3:uid="{00000000-0010-0000-2E00-00000A000000}" name="Budget 20/21" dataDxfId="1204" totalsRowDxfId="1205" dataCellStyle="Currency"/>
  </tableColumns>
  <tableStyleInfo name="Feds Budget" showFirstColumn="0" showLastColumn="0" showRowStripes="0" showColumnStripes="1"/>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WarriorTribeRevenues" displayName="WarriorTribeRevenues" ref="B4:G6" totalsRowCount="1">
  <tableColumns count="6">
    <tableColumn id="1" xr3:uid="{00000000-0010-0000-2F00-000001000000}" name="Revenues" totalsRowLabel="Total" dataDxfId="1202" totalsRowDxfId="1203"/>
    <tableColumn id="5" xr3:uid="{00000000-0010-0000-2F00-000005000000}" name="Budget 16/17" totalsRowFunction="sum" dataDxfId="1200" totalsRowDxfId="1201"/>
    <tableColumn id="2" xr3:uid="{00000000-0010-0000-2F00-000002000000}" name="Actual 16/17" totalsRowFunction="sum" dataDxfId="1198" totalsRowDxfId="1199"/>
    <tableColumn id="3" xr3:uid="{00000000-0010-0000-2F00-000003000000}" name="Budget 17/18" totalsRowFunction="sum" dataDxfId="1196" totalsRowDxfId="1197"/>
    <tableColumn id="4" xr3:uid="{00000000-0010-0000-2F00-000004000000}" name="Actual 17/18" totalsRowFunction="sum" dataDxfId="1194" totalsRowDxfId="1195" dataCellStyle="Currency"/>
    <tableColumn id="6" xr3:uid="{00000000-0010-0000-2F00-000006000000}" name="Budget 18/19" totalsRowFunction="sum" dataDxfId="1192" totalsRowDxfId="1193" dataCellStyle="Currency"/>
  </tableColumns>
  <tableStyleInfo name="Feds Budget" showFirstColumn="0" showLastColumn="0" showRowStripes="0" showColumnStripes="1"/>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WarriorTribeExpenses" displayName="WarriorTribeExpenses" ref="B8:G17" totalsRowCount="1" headerRowDxfId="1191" headerRowCellStyle="Currency">
  <sortState xmlns:xlrd2="http://schemas.microsoft.com/office/spreadsheetml/2017/richdata2" ref="B9:F17">
    <sortCondition ref="B8:B17"/>
  </sortState>
  <tableColumns count="6">
    <tableColumn id="1" xr3:uid="{00000000-0010-0000-3000-000001000000}" name="Expenses" totalsRowLabel="Total" dataDxfId="1189" totalsRowDxfId="1190"/>
    <tableColumn id="5" xr3:uid="{00000000-0010-0000-3000-000005000000}" name="Budget 16/17" totalsRowFunction="sum" dataDxfId="1187" totalsRowDxfId="1188"/>
    <tableColumn id="2" xr3:uid="{00000000-0010-0000-3000-000002000000}" name="Actual 6/17" totalsRowFunction="sum" dataDxfId="1185" totalsRowDxfId="1186"/>
    <tableColumn id="3" xr3:uid="{00000000-0010-0000-3000-000003000000}" name="Budget 17/18" totalsRowFunction="sum" dataDxfId="1183" totalsRowDxfId="1184" dataCellStyle="Currency"/>
    <tableColumn id="4" xr3:uid="{00000000-0010-0000-3000-000004000000}" name="Actual 17/18" totalsRowFunction="sum" dataDxfId="1181" totalsRowDxfId="1182" dataCellStyle="Currency"/>
    <tableColumn id="6" xr3:uid="{00000000-0010-0000-3000-000006000000}" name="Budget 18/19" totalsRowFunction="sum" dataDxfId="1179" totalsRowDxfId="1180" dataCellStyle="Currency"/>
  </tableColumns>
  <tableStyleInfo name="Feds Budget" showFirstColumn="0" showLastColumn="0" showRowStripes="0" showColumnStripes="1"/>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PresidentRevenues" displayName="PresidentRevenues" ref="B4:U6" totalsRowCount="1" headerRowDxfId="2742" dataDxfId="2741" dataCellStyle="Currency 2">
  <tableColumns count="20">
    <tableColumn id="1" xr3:uid="{00000000-0010-0000-0400-000001000000}" name="Revenues" totalsRowLabel="Total Revenues" dataDxfId="2739" totalsRowDxfId="2740" dataCellStyle="Currency 2"/>
    <tableColumn id="2" xr3:uid="{00000000-0010-0000-0400-000002000000}" name="Budget 10/11" totalsRowFunction="sum" dataDxfId="2737" totalsRowDxfId="2738" dataCellStyle="Currency 2"/>
    <tableColumn id="3" xr3:uid="{00000000-0010-0000-0400-000003000000}" name="Actual 10/11" totalsRowFunction="sum" dataDxfId="2735" totalsRowDxfId="2736" dataCellStyle="Currency 2"/>
    <tableColumn id="4" xr3:uid="{00000000-0010-0000-0400-000004000000}" name="Budget 11/12" totalsRowFunction="sum" dataDxfId="2733" totalsRowDxfId="2734" dataCellStyle="Currency 2"/>
    <tableColumn id="5" xr3:uid="{00000000-0010-0000-0400-000005000000}" name="Actual 11/12" totalsRowFunction="sum" dataDxfId="2731" totalsRowDxfId="2732" dataCellStyle="Currency 2"/>
    <tableColumn id="6" xr3:uid="{00000000-0010-0000-0400-000006000000}" name="Budget 12/13" totalsRowFunction="sum" dataDxfId="2729" totalsRowDxfId="2730" dataCellStyle="Currency 2"/>
    <tableColumn id="7" xr3:uid="{00000000-0010-0000-0400-000007000000}" name="Actual 12/13" totalsRowFunction="sum" dataDxfId="2727" totalsRowDxfId="2728" dataCellStyle="Currency 2"/>
    <tableColumn id="8" xr3:uid="{00000000-0010-0000-0400-000008000000}" name="Budget 13/14" totalsRowFunction="sum" dataDxfId="2725" totalsRowDxfId="2726" dataCellStyle="Currency 2"/>
    <tableColumn id="9" xr3:uid="{00000000-0010-0000-0400-000009000000}" name="Actual 13/14" totalsRowFunction="sum" dataDxfId="2723" totalsRowDxfId="2724" dataCellStyle="Currency 2"/>
    <tableColumn id="10" xr3:uid="{00000000-0010-0000-0400-00000A000000}" name="Budget 14/15" totalsRowFunction="sum" dataDxfId="2721" totalsRowDxfId="2722" dataCellStyle="Currency 2"/>
    <tableColumn id="11" xr3:uid="{00000000-0010-0000-0400-00000B000000}" name="Actuals 14/15" totalsRowFunction="sum" dataDxfId="2719" totalsRowDxfId="2720" dataCellStyle="Currency 2"/>
    <tableColumn id="12" xr3:uid="{00000000-0010-0000-0400-00000C000000}" name="Budget 15/16" totalsRowFunction="sum" dataDxfId="2717" totalsRowDxfId="2718" dataCellStyle="Currency 2"/>
    <tableColumn id="14" xr3:uid="{00000000-0010-0000-0400-00000E000000}" name="Actuals 15/16" totalsRowFunction="sum" dataDxfId="2715" totalsRowDxfId="2716" dataCellStyle="Currency 2"/>
    <tableColumn id="15" xr3:uid="{00000000-0010-0000-0400-00000F000000}" name="Budget 16/17" totalsRowFunction="sum" dataDxfId="2713" totalsRowDxfId="2714" dataCellStyle="Currency 2"/>
    <tableColumn id="16" xr3:uid="{00000000-0010-0000-0400-000010000000}" name="Actual 16/17" totalsRowFunction="sum" dataDxfId="2711" totalsRowDxfId="2712" dataCellStyle="Currency 2"/>
    <tableColumn id="17" xr3:uid="{00000000-0010-0000-0400-000011000000}" name="Budget 17/18" totalsRowFunction="sum" dataDxfId="2709" totalsRowDxfId="2710" dataCellStyle="Currency 2"/>
    <tableColumn id="13" xr3:uid="{00000000-0010-0000-0400-00000D000000}" name="Actual 17/18" dataDxfId="2707" totalsRowDxfId="2708" dataCellStyle="Currency 2"/>
    <tableColumn id="18" xr3:uid="{00000000-0010-0000-0400-000012000000}" name="Budget 18/19" dataDxfId="2705" totalsRowDxfId="2706" dataCellStyle="Currency 2"/>
    <tableColumn id="20" xr3:uid="{00000000-0010-0000-0400-000014000000}" name="Actual 18/19" dataDxfId="2703" totalsRowDxfId="2704" dataCellStyle="Currency 2"/>
    <tableColumn id="19" xr3:uid="{00000000-0010-0000-0400-000013000000}" name="Budget 19/20" dataDxfId="2701" totalsRowDxfId="2702" dataCellStyle="Currency 2"/>
  </tableColumns>
  <tableStyleInfo name="Feds Budget" showFirstColumn="0" showLastColumn="0" showRowStripes="0" showColumnStripes="1"/>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MatesRevenues" displayName="MatesRevenues" ref="B4:I6" totalsRowCount="1">
  <tableColumns count="8">
    <tableColumn id="1" xr3:uid="{00000000-0010-0000-3100-000001000000}" name="Revenues" totalsRowLabel="Total" dataDxfId="1177" totalsRowDxfId="1178"/>
    <tableColumn id="5" xr3:uid="{00000000-0010-0000-3100-000005000000}" name="Budget 16/17" totalsRowFunction="sum" dataDxfId="1175" totalsRowDxfId="1176"/>
    <tableColumn id="2" xr3:uid="{00000000-0010-0000-3100-000002000000}" name="Actual 16/17" totalsRowFunction="sum" dataDxfId="1173" totalsRowDxfId="1174"/>
    <tableColumn id="3" xr3:uid="{00000000-0010-0000-3100-000003000000}" name="Budget 17/18" totalsRowFunction="sum" dataDxfId="1171" totalsRowDxfId="1172"/>
    <tableColumn id="4" xr3:uid="{00000000-0010-0000-3100-000004000000}" name="Actual 17/18" totalsRowFunction="custom" dataDxfId="1169" totalsRowDxfId="1170">
      <totalsRowFormula>SUBTOTAL(109,MatesRevenues[Revenues])</totalsRowFormula>
    </tableColumn>
    <tableColumn id="6" xr3:uid="{00000000-0010-0000-3100-000006000000}" name="Budget 18/19" totalsRowFunction="custom" dataDxfId="1167" totalsRowDxfId="1168">
      <totalsRowFormula>SUBTOTAL(109,MatesRevenues[Budget 16/17])</totalsRowFormula>
    </tableColumn>
    <tableColumn id="7" xr3:uid="{00000000-0010-0000-3100-000007000000}" name="Budget 19/20" totalsRowFunction="custom" dataDxfId="1165" totalsRowDxfId="1166">
      <totalsRowFormula>SUBTOTAL(109,MatesRevenues[Actual 16/17])</totalsRowFormula>
    </tableColumn>
    <tableColumn id="8" xr3:uid="{00000000-0010-0000-3100-000008000000}" name="Budget 20/21" totalsRowFunction="custom" dataDxfId="1163" totalsRowDxfId="1164">
      <totalsRowFormula>SUBTOTAL(109,MatesRevenues[Budget 17/18])</totalsRowFormula>
    </tableColumn>
  </tableColumns>
  <tableStyleInfo name="Feds Budget" showFirstColumn="0" showLastColumn="0" showRowStripes="0" showColumnStripes="1"/>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2000000}" name="MatesExpenses" displayName="MatesExpenses" ref="B8:I16" totalsRowCount="1" headerRowDxfId="1162" headerRowCellStyle="Currency">
  <sortState xmlns:xlrd2="http://schemas.microsoft.com/office/spreadsheetml/2017/richdata2" ref="B9:F17">
    <sortCondition ref="B8:B17"/>
  </sortState>
  <tableColumns count="8">
    <tableColumn id="1" xr3:uid="{00000000-0010-0000-3200-000001000000}" name="Expenses" totalsRowLabel="Total" dataDxfId="1160" totalsRowDxfId="1161"/>
    <tableColumn id="5" xr3:uid="{00000000-0010-0000-3200-000005000000}" name="Budget 16/17" totalsRowFunction="sum" dataDxfId="1158" totalsRowDxfId="1159"/>
    <tableColumn id="2" xr3:uid="{00000000-0010-0000-3200-000002000000}" name="Actual 16/17" totalsRowFunction="sum" dataDxfId="1156" totalsRowDxfId="1157" dataCellStyle="Currency"/>
    <tableColumn id="3" xr3:uid="{00000000-0010-0000-3200-000003000000}" name="Budget 17/18" totalsRowFunction="sum" dataDxfId="1154" totalsRowDxfId="1155"/>
    <tableColumn id="4" xr3:uid="{00000000-0010-0000-3200-000004000000}" name="Actual 17/18" totalsRowFunction="sum" dataDxfId="1152" totalsRowDxfId="1153" dataCellStyle="Currency"/>
    <tableColumn id="6" xr3:uid="{00000000-0010-0000-3200-000006000000}" name="Budget 18/19" totalsRowFunction="sum" dataDxfId="1150" totalsRowDxfId="1151" dataCellStyle="Currency"/>
    <tableColumn id="7" xr3:uid="{00000000-0010-0000-3200-000007000000}" name="Budget 19/20" totalsRowFunction="sum" dataDxfId="1148" totalsRowDxfId="1149" dataCellStyle="Currency"/>
    <tableColumn id="8" xr3:uid="{00000000-0010-0000-3200-000008000000}" name="Budget 20/21" dataDxfId="1146" totalsRowDxfId="1147" dataCellStyle="Currency"/>
  </tableColumns>
  <tableStyleInfo name="Feds Budget" showFirstColumn="0" showLastColumn="0" showRowStripes="0" showColumnStripes="1"/>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3000000}" name="MatesRevenues3" displayName="MatesRevenues3" ref="B4:I7" totalsRowCount="1">
  <tableColumns count="8">
    <tableColumn id="1" xr3:uid="{00000000-0010-0000-3300-000001000000}" name="Revenues" totalsRowLabel="Total" dataDxfId="1144" totalsRowDxfId="1145"/>
    <tableColumn id="5" xr3:uid="{00000000-0010-0000-3300-000005000000}" name="Budget 18/19" totalsRowFunction="sum" dataDxfId="1142" totalsRowDxfId="1143"/>
    <tableColumn id="2" xr3:uid="{00000000-0010-0000-3300-000002000000}" name="Actual 18/19" totalsRowFunction="sum" dataDxfId="1140" totalsRowDxfId="1141"/>
    <tableColumn id="3" xr3:uid="{00000000-0010-0000-3300-000003000000}" name="Budget 19/20" totalsRowFunction="sum" dataDxfId="1138" totalsRowDxfId="1139"/>
    <tableColumn id="4" xr3:uid="{00000000-0010-0000-3300-000004000000}" name="Budget 20/21" dataDxfId="1136" totalsRowDxfId="1137"/>
    <tableColumn id="6" xr3:uid="{00000000-0010-0000-3300-000006000000}" name="Budget 21/22" dataDxfId="1134" totalsRowDxfId="1135"/>
    <tableColumn id="7" xr3:uid="{00000000-0010-0000-3300-000007000000}" name="Budget 22/23" dataDxfId="1132" totalsRowDxfId="1133"/>
    <tableColumn id="8" xr3:uid="{00000000-0010-0000-3300-000008000000}" name="Budget 22/24" dataDxfId="1130" totalsRowDxfId="1131"/>
  </tableColumns>
  <tableStyleInfo name="Feds Budget" showFirstColumn="0" showLastColumn="0" showRowStripes="0" showColumnStripes="1"/>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34000000}" name="MatesExpenses5" displayName="MatesExpenses5" ref="B9:I19" totalsRowCount="1" headerRowDxfId="1129" headerRowCellStyle="Currency">
  <sortState xmlns:xlrd2="http://schemas.microsoft.com/office/spreadsheetml/2017/richdata2" ref="B9:F17">
    <sortCondition ref="B8:B17"/>
  </sortState>
  <tableColumns count="8">
    <tableColumn id="1" xr3:uid="{00000000-0010-0000-3400-000001000000}" name="Expenses" totalsRowLabel="Total" dataDxfId="1127" totalsRowDxfId="1128"/>
    <tableColumn id="5" xr3:uid="{00000000-0010-0000-3400-000005000000}" name="Budget 18/19" totalsRowFunction="sum" dataDxfId="1125" totalsRowDxfId="1126"/>
    <tableColumn id="2" xr3:uid="{00000000-0010-0000-3400-000002000000}" name="Actual 18/19" totalsRowFunction="sum" dataDxfId="1123" totalsRowDxfId="1124" dataCellStyle="Currency"/>
    <tableColumn id="3" xr3:uid="{00000000-0010-0000-3400-000003000000}" name="Budget 19/20" totalsRowFunction="sum" dataDxfId="1121" totalsRowDxfId="1122"/>
    <tableColumn id="4" xr3:uid="{00000000-0010-0000-3400-000004000000}" name="Budget 20/21" dataDxfId="1119" totalsRowDxfId="1120" dataCellStyle="Currency"/>
    <tableColumn id="6" xr3:uid="{00000000-0010-0000-3400-000006000000}" name="Budget 21/22" dataDxfId="1117" totalsRowDxfId="1118" dataCellStyle="Currency"/>
    <tableColumn id="7" xr3:uid="{00000000-0010-0000-3400-000007000000}" name="Budget 22/23" dataDxfId="1115" totalsRowDxfId="1116" dataCellStyle="Currency"/>
    <tableColumn id="8" xr3:uid="{00000000-0010-0000-3400-000008000000}" name="Budget 22/24" dataDxfId="1113" totalsRowDxfId="1114" dataCellStyle="Currency"/>
  </tableColumns>
  <tableStyleInfo name="Feds Budget" showFirstColumn="0" showLastColumn="0" showRowStripes="0" showColumnStripes="1"/>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35000000}" name="SpecialEventsRevenues" displayName="SpecialEventsRevenues" ref="B5:V18" totalsRowCount="1" headerRowDxfId="1112" dataDxfId="1111" dataCellStyle="Currency">
  <tableColumns count="21">
    <tableColumn id="1" xr3:uid="{00000000-0010-0000-3500-000001000000}" name="Revenues" totalsRowLabel="Total" dataDxfId="1109" totalsRowDxfId="1110"/>
    <tableColumn id="2" xr3:uid="{00000000-0010-0000-3500-000002000000}" name="Budget 10/11" totalsRowFunction="sum" dataDxfId="1107" totalsRowDxfId="1108" dataCellStyle="Currency"/>
    <tableColumn id="3" xr3:uid="{00000000-0010-0000-3500-000003000000}" name="Actual 10/11" totalsRowFunction="sum" dataDxfId="1105" totalsRowDxfId="1106" dataCellStyle="Currency"/>
    <tableColumn id="4" xr3:uid="{00000000-0010-0000-3500-000004000000}" name="Budget 11/12" totalsRowFunction="sum" dataDxfId="1103" totalsRowDxfId="1104" dataCellStyle="Currency"/>
    <tableColumn id="5" xr3:uid="{00000000-0010-0000-3500-000005000000}" name="Actual 11/12" totalsRowFunction="sum" dataDxfId="1101" totalsRowDxfId="1102" dataCellStyle="Currency"/>
    <tableColumn id="6" xr3:uid="{00000000-0010-0000-3500-000006000000}" name="Budget 12/13" totalsRowFunction="sum" dataDxfId="1099" totalsRowDxfId="1100" dataCellStyle="Currency"/>
    <tableColumn id="7" xr3:uid="{00000000-0010-0000-3500-000007000000}" name="Actual 12/13" totalsRowFunction="sum" dataDxfId="1097" totalsRowDxfId="1098" dataCellStyle="Currency"/>
    <tableColumn id="8" xr3:uid="{00000000-0010-0000-3500-000008000000}" name="Budget 13/14" totalsRowFunction="sum" dataDxfId="1095" totalsRowDxfId="1096" dataCellStyle="Currency"/>
    <tableColumn id="9" xr3:uid="{00000000-0010-0000-3500-000009000000}" name="Actual 13/14" totalsRowFunction="sum" dataDxfId="1093" totalsRowDxfId="1094" dataCellStyle="Currency"/>
    <tableColumn id="10" xr3:uid="{00000000-0010-0000-3500-00000A000000}" name="Budget 14/15" totalsRowFunction="sum" dataDxfId="1091" totalsRowDxfId="1092" dataCellStyle="Currency"/>
    <tableColumn id="11" xr3:uid="{00000000-0010-0000-3500-00000B000000}" name="Actual 14/15" totalsRowFunction="sum" dataDxfId="1089" totalsRowDxfId="1090" dataCellStyle="Currency"/>
    <tableColumn id="12" xr3:uid="{00000000-0010-0000-3500-00000C000000}" name="Budget 15/16" totalsRowFunction="sum" dataDxfId="1087" totalsRowDxfId="1088" dataCellStyle="Currency"/>
    <tableColumn id="13" xr3:uid="{00000000-0010-0000-3500-00000D000000}" name="Actual 15/16" totalsRowFunction="sum" dataDxfId="1085" totalsRowDxfId="1086" dataCellStyle="Currency"/>
    <tableColumn id="14" xr3:uid="{00000000-0010-0000-3500-00000E000000}" name="Budget 16/17" totalsRowFunction="sum" dataDxfId="1083" totalsRowDxfId="1084" dataCellStyle="Currency"/>
    <tableColumn id="15" xr3:uid="{00000000-0010-0000-3500-00000F000000}" name="Actual" totalsRowFunction="sum" dataDxfId="1081" totalsRowDxfId="1082" dataCellStyle="Currency"/>
    <tableColumn id="16" xr3:uid="{00000000-0010-0000-3500-000010000000}" name="Budget 17/18" totalsRowFunction="sum" dataDxfId="1079" totalsRowDxfId="1080" dataCellStyle="Currency"/>
    <tableColumn id="17" xr3:uid="{00000000-0010-0000-3500-000011000000}" name="Actual 17/18" totalsRowFunction="custom" dataDxfId="1077" totalsRowDxfId="1078" dataCellStyle="Currency">
      <totalsRowFormula>SUM(SpecialEventsRevenues[Actual 17/18])</totalsRowFormula>
    </tableColumn>
    <tableColumn id="18" xr3:uid="{00000000-0010-0000-3500-000012000000}" name="Budget 18/19" totalsRowFunction="custom" dataDxfId="1075" totalsRowDxfId="1076" dataCellStyle="Currency">
      <totalsRowFormula>SUM(SpecialEventsRevenues[Budget 18/19])</totalsRowFormula>
    </tableColumn>
    <tableColumn id="21" xr3:uid="{00000000-0010-0000-3500-000015000000}" name="Actual 18/19" totalsRowFunction="custom" dataDxfId="1073" totalsRowDxfId="1074" dataCellStyle="Currency">
      <totalsRowFormula>SUM(SpecialEventsRevenues[Actual 18/19])</totalsRowFormula>
    </tableColumn>
    <tableColumn id="19" xr3:uid="{00000000-0010-0000-3500-000013000000}" name="Budget 19/20" totalsRowFunction="custom" dataDxfId="1071" totalsRowDxfId="1072" dataCellStyle="Currency">
      <totalsRowFormula>SUM(SpecialEventsRevenues[Budget 19/20])</totalsRowFormula>
    </tableColumn>
    <tableColumn id="20" xr3:uid="{00000000-0010-0000-3500-000014000000}" name="Budget 19/21" dataDxfId="1069" totalsRowDxfId="1070" dataCellStyle="Currency"/>
  </tableColumns>
  <tableStyleInfo name="Feds Budget" showFirstColumn="0" showLastColumn="0" showRowStripes="0" showColumnStripes="1"/>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36000000}" name="SpecialEventsCostofSales" displayName="SpecialEventsCostofSales" ref="B20:V27" totalsRowCount="1" headerRowDxfId="1068" dataDxfId="1067" dataCellStyle="Currency">
  <tableColumns count="21">
    <tableColumn id="1" xr3:uid="{00000000-0010-0000-3600-000001000000}" name="Cost of Sales" totalsRowLabel="Total" dataDxfId="1065" totalsRowDxfId="1066"/>
    <tableColumn id="2" xr3:uid="{00000000-0010-0000-3600-000002000000}" name="Budget 10/11" totalsRowFunction="sum" dataDxfId="1063" totalsRowDxfId="1064" dataCellStyle="Currency"/>
    <tableColumn id="3" xr3:uid="{00000000-0010-0000-3600-000003000000}" name="Actual 10/11" totalsRowFunction="sum" dataDxfId="1061" totalsRowDxfId="1062" dataCellStyle="Currency"/>
    <tableColumn id="4" xr3:uid="{00000000-0010-0000-3600-000004000000}" name="Budget 11/12" totalsRowFunction="sum" dataDxfId="1059" totalsRowDxfId="1060" dataCellStyle="Currency"/>
    <tableColumn id="5" xr3:uid="{00000000-0010-0000-3600-000005000000}" name="Actual 11/12" totalsRowFunction="sum" dataDxfId="1057" totalsRowDxfId="1058" dataCellStyle="Currency"/>
    <tableColumn id="6" xr3:uid="{00000000-0010-0000-3600-000006000000}" name="Budget 12/13" totalsRowFunction="sum" dataDxfId="1055" totalsRowDxfId="1056" dataCellStyle="Currency"/>
    <tableColumn id="7" xr3:uid="{00000000-0010-0000-3600-000007000000}" name="Actual 12/13" totalsRowFunction="sum" dataDxfId="1053" totalsRowDxfId="1054" dataCellStyle="Currency"/>
    <tableColumn id="8" xr3:uid="{00000000-0010-0000-3600-000008000000}" name="Budget 13/14" totalsRowFunction="sum" dataDxfId="1051" totalsRowDxfId="1052" dataCellStyle="Currency"/>
    <tableColumn id="9" xr3:uid="{00000000-0010-0000-3600-000009000000}" name="Actual 13/14" totalsRowFunction="sum" dataDxfId="1049" totalsRowDxfId="1050" dataCellStyle="Currency"/>
    <tableColumn id="10" xr3:uid="{00000000-0010-0000-3600-00000A000000}" name="Budget 14/15" totalsRowFunction="sum" dataDxfId="1047" totalsRowDxfId="1048" dataCellStyle="Currency"/>
    <tableColumn id="11" xr3:uid="{00000000-0010-0000-3600-00000B000000}" name="Actual 14/15" totalsRowFunction="sum" dataDxfId="1045" totalsRowDxfId="1046" dataCellStyle="Currency"/>
    <tableColumn id="12" xr3:uid="{00000000-0010-0000-3600-00000C000000}" name="Budget 15/16" totalsRowFunction="sum" dataDxfId="1043" totalsRowDxfId="1044" dataCellStyle="Currency"/>
    <tableColumn id="13" xr3:uid="{00000000-0010-0000-3600-00000D000000}" name="Actual 15/16" totalsRowFunction="sum" dataDxfId="1041" totalsRowDxfId="1042" dataCellStyle="Currency"/>
    <tableColumn id="14" xr3:uid="{00000000-0010-0000-3600-00000E000000}" name="Budget 16/17" totalsRowFunction="sum" dataDxfId="1039" totalsRowDxfId="1040" dataCellStyle="Currency"/>
    <tableColumn id="15" xr3:uid="{00000000-0010-0000-3600-00000F000000}" name="actual" totalsRowFunction="sum" dataDxfId="1037" totalsRowDxfId="1038" dataCellStyle="Currency"/>
    <tableColumn id="16" xr3:uid="{00000000-0010-0000-3600-000010000000}" name="Budget 17/18" totalsRowFunction="sum" dataDxfId="1035" totalsRowDxfId="1036" dataCellStyle="Currency"/>
    <tableColumn id="17" xr3:uid="{00000000-0010-0000-3600-000011000000}" name="Actual 17/18" dataDxfId="1033" totalsRowDxfId="1034" dataCellStyle="Currency"/>
    <tableColumn id="18" xr3:uid="{00000000-0010-0000-3600-000012000000}" name="Budget 18/19" dataDxfId="1031" totalsRowDxfId="1032" dataCellStyle="Currency"/>
    <tableColumn id="21" xr3:uid="{00000000-0010-0000-3600-000015000000}" name="Actual 18/19" dataDxfId="1029" totalsRowDxfId="1030" dataCellStyle="Currency"/>
    <tableColumn id="19" xr3:uid="{00000000-0010-0000-3600-000013000000}" name="Budget 19/20" dataDxfId="1027" totalsRowDxfId="1028" dataCellStyle="Currency"/>
    <tableColumn id="20" xr3:uid="{00000000-0010-0000-3600-000014000000}" name="Budget 19/21" dataDxfId="1026" dataCellStyle="Currency"/>
  </tableColumns>
  <tableStyleInfo name="Feds Budget" showFirstColumn="0" showLastColumn="0" showRowStripes="0" showColumnStripes="1"/>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37000000}" name="SpecialEventsExpenses" displayName="SpecialEventsExpenses" ref="B30:V70" totalsRowCount="1" headerRowDxfId="1025" dataDxfId="1024" dataCellStyle="Currency">
  <tableColumns count="21">
    <tableColumn id="1" xr3:uid="{00000000-0010-0000-3700-000001000000}" name="Expenses" totalsRowLabel="Total" dataDxfId="1022" totalsRowDxfId="1023"/>
    <tableColumn id="2" xr3:uid="{00000000-0010-0000-3700-000002000000}" name="Budget 10/11" totalsRowFunction="sum" dataDxfId="1020" totalsRowDxfId="1021" dataCellStyle="Currency"/>
    <tableColumn id="3" xr3:uid="{00000000-0010-0000-3700-000003000000}" name="Actual 10/11" totalsRowFunction="sum" dataDxfId="1018" totalsRowDxfId="1019" dataCellStyle="Currency"/>
    <tableColumn id="4" xr3:uid="{00000000-0010-0000-3700-000004000000}" name="Budget 11/12" totalsRowFunction="sum" dataDxfId="1016" totalsRowDxfId="1017" dataCellStyle="Currency"/>
    <tableColumn id="5" xr3:uid="{00000000-0010-0000-3700-000005000000}" name="Actual 11/12" totalsRowFunction="sum" dataDxfId="1014" totalsRowDxfId="1015" dataCellStyle="Currency"/>
    <tableColumn id="6" xr3:uid="{00000000-0010-0000-3700-000006000000}" name="Budget 12/13" totalsRowFunction="sum" dataDxfId="1012" totalsRowDxfId="1013" dataCellStyle="Currency"/>
    <tableColumn id="7" xr3:uid="{00000000-0010-0000-3700-000007000000}" name="Actual 12/13" totalsRowFunction="sum" dataDxfId="1010" totalsRowDxfId="1011" dataCellStyle="Currency"/>
    <tableColumn id="8" xr3:uid="{00000000-0010-0000-3700-000008000000}" name="Budget 13/14" totalsRowFunction="sum" dataDxfId="1008" totalsRowDxfId="1009" dataCellStyle="Currency"/>
    <tableColumn id="9" xr3:uid="{00000000-0010-0000-3700-000009000000}" name="Actual 13/14" totalsRowFunction="sum" dataDxfId="1006" totalsRowDxfId="1007" dataCellStyle="Currency"/>
    <tableColumn id="10" xr3:uid="{00000000-0010-0000-3700-00000A000000}" name="Budget 14/15" totalsRowFunction="sum" dataDxfId="1004" totalsRowDxfId="1005" dataCellStyle="Currency"/>
    <tableColumn id="11" xr3:uid="{00000000-0010-0000-3700-00000B000000}" name="Actual 14/15" totalsRowFunction="sum" dataDxfId="1002" totalsRowDxfId="1003" dataCellStyle="Currency"/>
    <tableColumn id="12" xr3:uid="{00000000-0010-0000-3700-00000C000000}" name="Budget 15/16" totalsRowFunction="sum" dataDxfId="1000" totalsRowDxfId="1001" dataCellStyle="Currency"/>
    <tableColumn id="13" xr3:uid="{00000000-0010-0000-3700-00000D000000}" name="Actual 15/16" totalsRowFunction="sum" dataDxfId="998" totalsRowDxfId="999" dataCellStyle="Currency"/>
    <tableColumn id="14" xr3:uid="{00000000-0010-0000-3700-00000E000000}" name="Budget 16/17" totalsRowFunction="sum" dataDxfId="996" totalsRowDxfId="997" dataCellStyle="Currency"/>
    <tableColumn id="15" xr3:uid="{00000000-0010-0000-3700-00000F000000}" name="Actual" totalsRowFunction="sum" dataDxfId="994" totalsRowDxfId="995" dataCellStyle="Currency"/>
    <tableColumn id="16" xr3:uid="{00000000-0010-0000-3700-000010000000}" name="Budget 17/18" totalsRowFunction="sum" dataDxfId="992" totalsRowDxfId="993" dataCellStyle="Currency"/>
    <tableColumn id="17" xr3:uid="{00000000-0010-0000-3700-000011000000}" name="Actual 17/18" totalsRowFunction="custom" dataDxfId="990" totalsRowDxfId="991" dataCellStyle="Currency">
      <totalsRowFormula>SUM(SpecialEventsExpenses[Actual 17/18])</totalsRowFormula>
    </tableColumn>
    <tableColumn id="18" xr3:uid="{00000000-0010-0000-3700-000012000000}" name="Budget 18/19" totalsRowFunction="custom" dataDxfId="988" totalsRowDxfId="989" dataCellStyle="Currency">
      <totalsRowFormula>SUM(SpecialEventsExpenses[Budget 18/19])</totalsRowFormula>
    </tableColumn>
    <tableColumn id="21" xr3:uid="{00000000-0010-0000-3700-000015000000}" name="Actual 18/19" totalsRowFunction="custom" dataDxfId="986" totalsRowDxfId="987" dataCellStyle="Currency">
      <totalsRowFormula>SUM(SpecialEventsExpenses[Actual 18/19])</totalsRowFormula>
    </tableColumn>
    <tableColumn id="19" xr3:uid="{00000000-0010-0000-3700-000013000000}" name="Budget 19/20" totalsRowFunction="custom" dataDxfId="984" totalsRowDxfId="985" dataCellStyle="Currency">
      <totalsRowFormula>SUM(SpecialEventsExpenses[Budget 19/20])</totalsRowFormula>
    </tableColumn>
    <tableColumn id="20" xr3:uid="{00000000-0010-0000-3700-000014000000}" name="Budget 19/21" dataDxfId="982" totalsRowDxfId="983" dataCellStyle="Currency"/>
  </tableColumns>
  <tableStyleInfo name="Feds Budget" showFirstColumn="0" showLastColumn="0" showRowStripes="0" showColumnStripes="1"/>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38000000}" name="VPEDSummary" displayName="VPEDSummary" ref="A13:U20" totalsRowCount="1">
  <tableColumns count="21">
    <tableColumn id="1" xr3:uid="{00000000-0010-0000-3800-000001000000}" name="Summary of Expenses" totalsRowLabel="Total" totalsRowDxfId="981"/>
    <tableColumn id="2" xr3:uid="{00000000-0010-0000-3800-000002000000}" name="Budget 10/11" totalsRowFunction="sum" dataDxfId="979" totalsRowDxfId="980" dataCellStyle="Currency"/>
    <tableColumn id="3" xr3:uid="{00000000-0010-0000-3800-000003000000}" name="Actual 10/11" totalsRowFunction="sum" dataDxfId="977" totalsRowDxfId="978" dataCellStyle="Currency"/>
    <tableColumn id="4" xr3:uid="{00000000-0010-0000-3800-000004000000}" name="Budget 11/12" totalsRowFunction="sum" dataDxfId="975" totalsRowDxfId="976" dataCellStyle="Currency"/>
    <tableColumn id="5" xr3:uid="{00000000-0010-0000-3800-000005000000}" name="Actual 11/12" totalsRowFunction="sum" dataDxfId="973" totalsRowDxfId="974" dataCellStyle="Currency"/>
    <tableColumn id="6" xr3:uid="{00000000-0010-0000-3800-000006000000}" name="Budget 12/13" totalsRowFunction="sum" dataDxfId="971" totalsRowDxfId="972" dataCellStyle="Currency"/>
    <tableColumn id="7" xr3:uid="{00000000-0010-0000-3800-000007000000}" name="Actual 12/13" totalsRowFunction="sum" dataDxfId="969" totalsRowDxfId="970" dataCellStyle="Currency"/>
    <tableColumn id="8" xr3:uid="{00000000-0010-0000-3800-000008000000}" name="Budget 13/14" totalsRowFunction="sum" dataDxfId="967" totalsRowDxfId="968" dataCellStyle="Currency"/>
    <tableColumn id="9" xr3:uid="{00000000-0010-0000-3800-000009000000}" name="Actual 13/14" totalsRowFunction="sum" dataDxfId="965" totalsRowDxfId="966" dataCellStyle="Currency"/>
    <tableColumn id="10" xr3:uid="{00000000-0010-0000-3800-00000A000000}" name="Budget 14/15" totalsRowFunction="sum" dataDxfId="963" totalsRowDxfId="964" dataCellStyle="Currency"/>
    <tableColumn id="11" xr3:uid="{00000000-0010-0000-3800-00000B000000}" name="Actuals 14/15" totalsRowFunction="sum" dataDxfId="961" totalsRowDxfId="962" dataCellStyle="Currency"/>
    <tableColumn id="12" xr3:uid="{00000000-0010-0000-3800-00000C000000}" name="Budget 15/16" totalsRowFunction="sum" dataDxfId="959" totalsRowDxfId="960" dataCellStyle="Currency"/>
    <tableColumn id="13" xr3:uid="{00000000-0010-0000-3800-00000D000000}" name="Actual 15/16" totalsRowFunction="sum" dataDxfId="957" totalsRowDxfId="958" dataCellStyle="Currency"/>
    <tableColumn id="14" xr3:uid="{00000000-0010-0000-3800-00000E000000}" name="Budget 16/17" totalsRowFunction="sum" dataDxfId="955" totalsRowDxfId="956" dataCellStyle="Currency"/>
    <tableColumn id="15" xr3:uid="{00000000-0010-0000-3800-00000F000000}" name="Actual 16/17" totalsRowFunction="sum" dataDxfId="953" totalsRowDxfId="954" dataCellStyle="Currency"/>
    <tableColumn id="16" xr3:uid="{00000000-0010-0000-3800-000010000000}" name="Budget 17/18" totalsRowFunction="sum" dataDxfId="951" totalsRowDxfId="952" dataCellStyle="Currency"/>
    <tableColumn id="17" xr3:uid="{00000000-0010-0000-3800-000011000000}" name="Actual 17/18" totalsRowFunction="sum" totalsRowDxfId="950" dataCellStyle="Currency"/>
    <tableColumn id="18" xr3:uid="{00000000-0010-0000-3800-000012000000}" name="Budget 18/19" totalsRowFunction="sum" dataDxfId="948" totalsRowDxfId="949" dataCellStyle="Currency">
      <calculatedColumnFormula>'VP Education (40100)'!T32</calculatedColumnFormula>
    </tableColumn>
    <tableColumn id="21" xr3:uid="{00000000-0010-0000-3800-000015000000}" name="Actual 18/19" totalsRowFunction="sum" dataDxfId="946" totalsRowDxfId="947" dataCellStyle="Currency">
      <calculatedColumnFormula>VPEDExpenses[[#Totals],[Actual 18/19]]</calculatedColumnFormula>
    </tableColumn>
    <tableColumn id="19" xr3:uid="{00000000-0010-0000-3800-000013000000}" name="Budget 19/20" totalsRowFunction="sum" dataDxfId="944" totalsRowDxfId="945" dataCellStyle="Currency"/>
    <tableColumn id="20" xr3:uid="{00000000-0010-0000-3800-000014000000}" name="Budget 20/21" dataDxfId="942" totalsRowDxfId="943" dataCellStyle="Currency"/>
  </tableColumns>
  <tableStyleInfo name="Feds Budget" showFirstColumn="0" showLastColumn="0" showRowStripes="0" showColumnStripes="1"/>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39000000}" name="VPEDSummary73" displayName="VPEDSummary73" ref="A4:U11" totalsRowCount="1">
  <tableColumns count="21">
    <tableColumn id="1" xr3:uid="{00000000-0010-0000-3900-000001000000}" name="Summary of Revenues" totalsRowLabel="Total" totalsRowDxfId="941"/>
    <tableColumn id="2" xr3:uid="{00000000-0010-0000-3900-000002000000}" name="Budget 10/11" totalsRowFunction="sum" dataDxfId="939" totalsRowDxfId="940" dataCellStyle="Currency"/>
    <tableColumn id="3" xr3:uid="{00000000-0010-0000-3900-000003000000}" name="Actual 10/11" totalsRowFunction="sum" dataDxfId="937" totalsRowDxfId="938" dataCellStyle="Currency"/>
    <tableColumn id="4" xr3:uid="{00000000-0010-0000-3900-000004000000}" name="Budget 11/12" totalsRowFunction="sum" dataDxfId="935" totalsRowDxfId="936" dataCellStyle="Currency"/>
    <tableColumn id="5" xr3:uid="{00000000-0010-0000-3900-000005000000}" name="Actual 11/12" totalsRowFunction="sum" dataDxfId="933" totalsRowDxfId="934" dataCellStyle="Currency"/>
    <tableColumn id="6" xr3:uid="{00000000-0010-0000-3900-000006000000}" name="Budget 12/13" totalsRowFunction="sum" dataDxfId="931" totalsRowDxfId="932" dataCellStyle="Currency"/>
    <tableColumn id="7" xr3:uid="{00000000-0010-0000-3900-000007000000}" name="Actual 12/13" totalsRowFunction="sum" dataDxfId="929" totalsRowDxfId="930" dataCellStyle="Currency"/>
    <tableColumn id="8" xr3:uid="{00000000-0010-0000-3900-000008000000}" name="Budget 13/14" totalsRowFunction="sum" dataDxfId="927" totalsRowDxfId="928" dataCellStyle="Currency"/>
    <tableColumn id="9" xr3:uid="{00000000-0010-0000-3900-000009000000}" name="Actual 13/14" totalsRowFunction="sum" dataDxfId="925" totalsRowDxfId="926" dataCellStyle="Currency"/>
    <tableColumn id="10" xr3:uid="{00000000-0010-0000-3900-00000A000000}" name="Budget 14/15" totalsRowFunction="sum" dataDxfId="923" totalsRowDxfId="924" dataCellStyle="Currency"/>
    <tableColumn id="11" xr3:uid="{00000000-0010-0000-3900-00000B000000}" name="Actuals 14/15" totalsRowFunction="sum" dataDxfId="921" totalsRowDxfId="922" dataCellStyle="Currency"/>
    <tableColumn id="12" xr3:uid="{00000000-0010-0000-3900-00000C000000}" name="Budget 15/16" totalsRowFunction="sum" dataDxfId="919" totalsRowDxfId="920" dataCellStyle="Currency"/>
    <tableColumn id="13" xr3:uid="{00000000-0010-0000-3900-00000D000000}" name="Actual 15/16" totalsRowFunction="sum" dataDxfId="917" totalsRowDxfId="918" dataCellStyle="Currency"/>
    <tableColumn id="14" xr3:uid="{00000000-0010-0000-3900-00000E000000}" name="Budget 16/17" totalsRowFunction="sum" dataDxfId="915" totalsRowDxfId="916" dataCellStyle="Currency"/>
    <tableColumn id="15" xr3:uid="{00000000-0010-0000-3900-00000F000000}" name="Actual 16/17" totalsRowFunction="sum" dataDxfId="913" totalsRowDxfId="914" dataCellStyle="Currency"/>
    <tableColumn id="16" xr3:uid="{00000000-0010-0000-3900-000010000000}" name="Budget 17/18" dataDxfId="911" totalsRowDxfId="912" dataCellStyle="Currency"/>
    <tableColumn id="17" xr3:uid="{00000000-0010-0000-3900-000011000000}" name="Actual 17/18" totalsRowDxfId="910" dataCellStyle="Currency"/>
    <tableColumn id="18" xr3:uid="{00000000-0010-0000-3900-000012000000}" name="Budget 18/19" totalsRowFunction="sum" dataDxfId="908" totalsRowDxfId="909" dataCellStyle="Currency">
      <calculatedColumnFormula>'VP Education (40100)'!T24</calculatedColumnFormula>
    </tableColumn>
    <tableColumn id="21" xr3:uid="{00000000-0010-0000-3900-000015000000}" name="Actual 18/19" totalsRowFunction="sum" dataDxfId="906" totalsRowDxfId="907" dataCellStyle="Currency"/>
    <tableColumn id="19" xr3:uid="{00000000-0010-0000-3900-000013000000}" name="Budget 19/20" totalsRowFunction="sum" dataDxfId="904" totalsRowDxfId="905" dataCellStyle="Currency"/>
    <tableColumn id="20" xr3:uid="{00000000-0010-0000-3900-000014000000}" name="Budget 20/21" dataDxfId="902" totalsRowDxfId="903" dataCellStyle="Currency"/>
  </tableColumns>
  <tableStyleInfo name="Feds Budget" showFirstColumn="0" showLastColumn="0" showRowStripes="0" showColumnStripes="1"/>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3A000000}" name="VPEDRevenues" displayName="VPEDRevenues" ref="B4:W6" totalsRowCount="1" headerRowDxfId="901" dataDxfId="900">
  <tableColumns count="22">
    <tableColumn id="1" xr3:uid="{00000000-0010-0000-3A00-000001000000}" name="Revenues" totalsRowLabel="Total" dataDxfId="898" totalsRowDxfId="899"/>
    <tableColumn id="2" xr3:uid="{00000000-0010-0000-3A00-000002000000}" name="Budget 10/11" totalsRowFunction="sum" dataDxfId="896" totalsRowDxfId="897" dataCellStyle="Currency"/>
    <tableColumn id="3" xr3:uid="{00000000-0010-0000-3A00-000003000000}" name="Actual 10/11" totalsRowFunction="sum" dataDxfId="894" totalsRowDxfId="895" dataCellStyle="Currency"/>
    <tableColumn id="4" xr3:uid="{00000000-0010-0000-3A00-000004000000}" name="Budget 11/12" totalsRowFunction="sum" dataDxfId="892" totalsRowDxfId="893" dataCellStyle="Currency"/>
    <tableColumn id="5" xr3:uid="{00000000-0010-0000-3A00-000005000000}" name="Actual 11/12" totalsRowFunction="sum" dataDxfId="890" totalsRowDxfId="891" dataCellStyle="Currency"/>
    <tableColumn id="6" xr3:uid="{00000000-0010-0000-3A00-000006000000}" name="Budget 12/13" totalsRowFunction="sum" dataDxfId="888" totalsRowDxfId="889" dataCellStyle="Currency"/>
    <tableColumn id="7" xr3:uid="{00000000-0010-0000-3A00-000007000000}" name="Actual 12/13" totalsRowFunction="sum" dataDxfId="886" totalsRowDxfId="887" dataCellStyle="Currency"/>
    <tableColumn id="8" xr3:uid="{00000000-0010-0000-3A00-000008000000}" name="Budget 13/14" totalsRowFunction="sum" dataDxfId="884" totalsRowDxfId="885" dataCellStyle="Currency"/>
    <tableColumn id="9" xr3:uid="{00000000-0010-0000-3A00-000009000000}" name="Actual 13/14" totalsRowFunction="sum" dataDxfId="882" totalsRowDxfId="883" dataCellStyle="Currency"/>
    <tableColumn id="10" xr3:uid="{00000000-0010-0000-3A00-00000A000000}" name="Budget 14/15" totalsRowFunction="sum" dataDxfId="880" totalsRowDxfId="881" dataCellStyle="Currency"/>
    <tableColumn id="11" xr3:uid="{00000000-0010-0000-3A00-00000B000000}" name="Actual 14/15" totalsRowFunction="sum" dataDxfId="878" totalsRowDxfId="879" dataCellStyle="Currency"/>
    <tableColumn id="12" xr3:uid="{00000000-0010-0000-3A00-00000C000000}" name="Budget 15/16" totalsRowFunction="sum" dataDxfId="876" totalsRowDxfId="877" dataCellStyle="Currency"/>
    <tableColumn id="13" xr3:uid="{00000000-0010-0000-3A00-00000D000000}" name="Actual 14/16" totalsRowFunction="sum" dataDxfId="874" totalsRowDxfId="875"/>
    <tableColumn id="14" xr3:uid="{00000000-0010-0000-3A00-00000E000000}" name="Actual 15/16" totalsRowFunction="sum" dataDxfId="872" totalsRowDxfId="873"/>
    <tableColumn id="15" xr3:uid="{00000000-0010-0000-3A00-00000F000000}" name="Budget 16/17" totalsRowFunction="sum" dataDxfId="870" totalsRowDxfId="871"/>
    <tableColumn id="16" xr3:uid="{00000000-0010-0000-3A00-000010000000}" name="Actual 16/17" totalsRowFunction="sum" dataDxfId="868" totalsRowDxfId="869"/>
    <tableColumn id="17" xr3:uid="{00000000-0010-0000-3A00-000011000000}" name="Budget 17/18" totalsRowFunction="sum" dataDxfId="866" totalsRowDxfId="867"/>
    <tableColumn id="18" xr3:uid="{00000000-0010-0000-3A00-000012000000}" name="Actual 17/18" totalsRowFunction="custom" dataDxfId="864" totalsRowDxfId="865">
      <totalsRowFormula>SUBTOTAL(109,VPEDRevenues[Revenues])</totalsRowFormula>
    </tableColumn>
    <tableColumn id="19" xr3:uid="{00000000-0010-0000-3A00-000013000000}" name="Budget 18/19" dataDxfId="862" totalsRowDxfId="863"/>
    <tableColumn id="22" xr3:uid="{00000000-0010-0000-3A00-000016000000}" name="Actual 18/19" dataDxfId="860" totalsRowDxfId="861"/>
    <tableColumn id="20" xr3:uid="{00000000-0010-0000-3A00-000014000000}" name="Budget 19/20" dataDxfId="858" totalsRowDxfId="859"/>
    <tableColumn id="21" xr3:uid="{00000000-0010-0000-3A00-000015000000}" name="Budget 20/21" dataDxfId="857"/>
  </tableColumns>
  <tableStyleInfo name="Feds Budget" showFirstColumn="0" showLastColumn="0" showRowStripes="0" showColumnStripes="1"/>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PresidentExpenses" displayName="PresidentExpenses" ref="B8:Q34" totalsRowCount="1" headerRowDxfId="2700" dataDxfId="2699" dataCellStyle="Currency 2">
  <sortState xmlns:xlrd2="http://schemas.microsoft.com/office/spreadsheetml/2017/richdata2" ref="A9:P34">
    <sortCondition ref="A9:A34"/>
  </sortState>
  <tableColumns count="16">
    <tableColumn id="1" xr3:uid="{00000000-0010-0000-0500-000001000000}" name="Expenses" totalsRowLabel="Total Expenses" dataDxfId="2697" totalsRowDxfId="2698"/>
    <tableColumn id="2" xr3:uid="{00000000-0010-0000-0500-000002000000}" name="Budget 10/11" totalsRowFunction="sum" dataDxfId="2695" totalsRowDxfId="2696" dataCellStyle="Currency 2"/>
    <tableColumn id="3" xr3:uid="{00000000-0010-0000-0500-000003000000}" name="Actual 10/11" totalsRowFunction="sum" dataDxfId="2693" totalsRowDxfId="2694" dataCellStyle="Currency 2"/>
    <tableColumn id="4" xr3:uid="{00000000-0010-0000-0500-000004000000}" name="Budget 11/12" totalsRowFunction="sum" dataDxfId="2691" totalsRowDxfId="2692" dataCellStyle="Currency 2"/>
    <tableColumn id="5" xr3:uid="{00000000-0010-0000-0500-000005000000}" name="Actual 11/12" totalsRowFunction="sum" dataDxfId="2689" totalsRowDxfId="2690" dataCellStyle="Currency 2"/>
    <tableColumn id="6" xr3:uid="{00000000-0010-0000-0500-000006000000}" name="Budget 12/13" totalsRowFunction="sum" dataDxfId="2687" totalsRowDxfId="2688" dataCellStyle="Currency 2"/>
    <tableColumn id="7" xr3:uid="{00000000-0010-0000-0500-000007000000}" name="Actual 12/13" totalsRowFunction="sum" dataDxfId="2685" totalsRowDxfId="2686" dataCellStyle="Currency 2"/>
    <tableColumn id="8" xr3:uid="{00000000-0010-0000-0500-000008000000}" name="Budget 13/14" totalsRowFunction="sum" dataDxfId="2683" totalsRowDxfId="2684" dataCellStyle="Currency 2"/>
    <tableColumn id="9" xr3:uid="{00000000-0010-0000-0500-000009000000}" name="Actual 13/14" totalsRowFunction="sum" dataDxfId="2681" totalsRowDxfId="2682" dataCellStyle="Currency 2"/>
    <tableColumn id="10" xr3:uid="{00000000-0010-0000-0500-00000A000000}" name="Budget 14/15" totalsRowFunction="sum" dataDxfId="2679" totalsRowDxfId="2680" dataCellStyle="Currency 2"/>
    <tableColumn id="11" xr3:uid="{00000000-0010-0000-0500-00000B000000}" name="Actuals 14/15" totalsRowFunction="sum" dataDxfId="2677" totalsRowDxfId="2678" dataCellStyle="Currency 2"/>
    <tableColumn id="12" xr3:uid="{00000000-0010-0000-0500-00000C000000}" name="Budget 15/16" totalsRowFunction="sum" dataDxfId="2675" totalsRowDxfId="2676" dataCellStyle="Currency 2"/>
    <tableColumn id="14" xr3:uid="{00000000-0010-0000-0500-00000E000000}" name="Actual 15/16" totalsRowFunction="sum" dataDxfId="2673" totalsRowDxfId="2674" dataCellStyle="Currency 2"/>
    <tableColumn id="15" xr3:uid="{00000000-0010-0000-0500-00000F000000}" name="Budget 16/17" totalsRowFunction="sum" dataDxfId="2671" totalsRowDxfId="2672" dataCellStyle="Currency 2"/>
    <tableColumn id="16" xr3:uid="{00000000-0010-0000-0500-000010000000}" name="Actual 16/17" totalsRowFunction="sum" dataDxfId="2669" totalsRowDxfId="2670" dataCellStyle="Currency 2"/>
    <tableColumn id="17" xr3:uid="{00000000-0010-0000-0500-000011000000}" name="Budget 17/18" totalsRowFunction="sum" dataDxfId="2667" totalsRowDxfId="2668" dataCellStyle="Currency 2"/>
  </tableColumns>
  <tableStyleInfo name="Feds Budget" showFirstColumn="0" showLastColumn="0" showRowStripes="0" showColumnStripes="1"/>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3B000000}" name="VPEDExpenses" displayName="VPEDExpenses" ref="B8:W30" totalsRowCount="1" headerRowDxfId="856" dataDxfId="855">
  <tableColumns count="22">
    <tableColumn id="1" xr3:uid="{00000000-0010-0000-3B00-000001000000}" name="Expenses" totalsRowLabel="Total" dataDxfId="853" totalsRowDxfId="854"/>
    <tableColumn id="2" xr3:uid="{00000000-0010-0000-3B00-000002000000}" name="Budget 10/11" totalsRowFunction="sum" dataDxfId="851" totalsRowDxfId="852" dataCellStyle="Currency"/>
    <tableColumn id="3" xr3:uid="{00000000-0010-0000-3B00-000003000000}" name="Actual 10/11" totalsRowFunction="sum" dataDxfId="849" totalsRowDxfId="850" dataCellStyle="Currency"/>
    <tableColumn id="4" xr3:uid="{00000000-0010-0000-3B00-000004000000}" name="Budget 11/12" totalsRowFunction="sum" dataDxfId="847" totalsRowDxfId="848" dataCellStyle="Currency"/>
    <tableColumn id="5" xr3:uid="{00000000-0010-0000-3B00-000005000000}" name="Actual 11/12" totalsRowFunction="sum" dataDxfId="845" totalsRowDxfId="846" dataCellStyle="Currency"/>
    <tableColumn id="6" xr3:uid="{00000000-0010-0000-3B00-000006000000}" name="Budget 12/13" totalsRowFunction="sum" dataDxfId="843" totalsRowDxfId="844" dataCellStyle="Currency"/>
    <tableColumn id="7" xr3:uid="{00000000-0010-0000-3B00-000007000000}" name="Actual 12/13" totalsRowFunction="sum" dataDxfId="841" totalsRowDxfId="842" dataCellStyle="Currency"/>
    <tableColumn id="8" xr3:uid="{00000000-0010-0000-3B00-000008000000}" name="Budget 13/14" totalsRowFunction="sum" dataDxfId="839" totalsRowDxfId="840" dataCellStyle="Currency"/>
    <tableColumn id="9" xr3:uid="{00000000-0010-0000-3B00-000009000000}" name="Actual 13/14" totalsRowFunction="sum" dataDxfId="837" totalsRowDxfId="838" dataCellStyle="Currency"/>
    <tableColumn id="10" xr3:uid="{00000000-0010-0000-3B00-00000A000000}" name="Budget 14/15" totalsRowFunction="sum" dataDxfId="835" totalsRowDxfId="836" dataCellStyle="Currency"/>
    <tableColumn id="11" xr3:uid="{00000000-0010-0000-3B00-00000B000000}" name="Actual 14/15" totalsRowFunction="sum" dataDxfId="833" totalsRowDxfId="834" dataCellStyle="Currency"/>
    <tableColumn id="12" xr3:uid="{00000000-0010-0000-3B00-00000C000000}" name="Budget 15/16" totalsRowFunction="sum" dataDxfId="831" totalsRowDxfId="832" dataCellStyle="Currency"/>
    <tableColumn id="13" xr3:uid="{00000000-0010-0000-3B00-00000D000000}" name="Budget 14/18" totalsRowFunction="sum" dataDxfId="829" totalsRowDxfId="830"/>
    <tableColumn id="14" xr3:uid="{00000000-0010-0000-3B00-00000E000000}" name="Actual 15/16" totalsRowFunction="sum" dataDxfId="827" totalsRowDxfId="828"/>
    <tableColumn id="15" xr3:uid="{00000000-0010-0000-3B00-00000F000000}" name="Budget 16/17" totalsRowFunction="sum" dataDxfId="825" totalsRowDxfId="826"/>
    <tableColumn id="16" xr3:uid="{00000000-0010-0000-3B00-000010000000}" name="Actual 16/17" totalsRowFunction="sum" dataDxfId="823" totalsRowDxfId="824" dataCellStyle="Currency"/>
    <tableColumn id="17" xr3:uid="{00000000-0010-0000-3B00-000011000000}" name="Budget 17/18" totalsRowFunction="sum" dataDxfId="821" totalsRowDxfId="822" dataCellStyle="Currency"/>
    <tableColumn id="18" xr3:uid="{00000000-0010-0000-3B00-000012000000}" name="Actual 17/18" totalsRowFunction="custom" dataDxfId="819" totalsRowDxfId="820">
      <totalsRowFormula>SUM(VPEDExpenses[Actual 17/18])</totalsRowFormula>
    </tableColumn>
    <tableColumn id="19" xr3:uid="{00000000-0010-0000-3B00-000013000000}" name="Budget 18/19" totalsRowFunction="custom" dataDxfId="817" totalsRowDxfId="818" dataCellStyle="Currency">
      <totalsRowFormula>SUM(VPEDExpenses[Budget 18/19])</totalsRowFormula>
    </tableColumn>
    <tableColumn id="22" xr3:uid="{00000000-0010-0000-3B00-000016000000}" name="Actual 18/19" totalsRowFunction="custom" dataDxfId="815" totalsRowDxfId="816" dataCellStyle="Currency">
      <totalsRowFormula>SUM(VPEDExpenses[Actual 18/19])</totalsRowFormula>
    </tableColumn>
    <tableColumn id="20" xr3:uid="{00000000-0010-0000-3B00-000014000000}" name="Budget 19/20" totalsRowFunction="custom" dataDxfId="813" totalsRowDxfId="814" dataCellStyle="Currency">
      <totalsRowFormula>SUM(VPEDExpenses[Budget 19/20])</totalsRowFormula>
    </tableColumn>
    <tableColumn id="21" xr3:uid="{00000000-0010-0000-3B00-000015000000}" name="Budget 20/21" totalsRowDxfId="812" dataCellStyle="Currency"/>
  </tableColumns>
  <tableStyleInfo name="Feds Budget" showFirstColumn="0" showLastColumn="0" showRowStripes="0" showColumnStripes="1"/>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3C000000}" name="AcademicAffairsRevenues" displayName="AcademicAffairsRevenues" ref="B4:P6" totalsRowCount="1" headerRowDxfId="811" dataDxfId="810">
  <tableColumns count="15">
    <tableColumn id="1" xr3:uid="{00000000-0010-0000-3C00-000001000000}" name="Revenues" totalsRowLabel="Total" dataDxfId="808" totalsRowDxfId="809"/>
    <tableColumn id="2" xr3:uid="{00000000-0010-0000-3C00-000002000000}" name="Budget 13/14" totalsRowFunction="sum" dataDxfId="806" totalsRowDxfId="807"/>
    <tableColumn id="3" xr3:uid="{00000000-0010-0000-3C00-000003000000}" name="Actual 13/14" totalsRowFunction="sum" dataDxfId="804" totalsRowDxfId="805"/>
    <tableColumn id="4" xr3:uid="{00000000-0010-0000-3C00-000004000000}" name="Budget 14/15" totalsRowFunction="sum" dataDxfId="802" totalsRowDxfId="803"/>
    <tableColumn id="5" xr3:uid="{00000000-0010-0000-3C00-000005000000}" name="Actual 14/15" totalsRowFunction="sum" dataDxfId="800" totalsRowDxfId="801"/>
    <tableColumn id="6" xr3:uid="{00000000-0010-0000-3C00-000006000000}" name="Budget 15/16" totalsRowFunction="sum" dataDxfId="798" totalsRowDxfId="799"/>
    <tableColumn id="7" xr3:uid="{00000000-0010-0000-3C00-000007000000}" name="Actual 15/16" totalsRowFunction="sum" dataDxfId="796" totalsRowDxfId="797"/>
    <tableColumn id="8" xr3:uid="{00000000-0010-0000-3C00-000008000000}" name="Budget 16/17" totalsRowFunction="sum" dataDxfId="794" totalsRowDxfId="795"/>
    <tableColumn id="9" xr3:uid="{00000000-0010-0000-3C00-000009000000}" name="Actual 16/17" totalsRowFunction="sum" dataDxfId="792" totalsRowDxfId="793"/>
    <tableColumn id="10" xr3:uid="{00000000-0010-0000-3C00-00000A000000}" name="Budget 17/18" totalsRowFunction="sum" dataDxfId="790" totalsRowDxfId="791"/>
    <tableColumn id="11" xr3:uid="{00000000-0010-0000-3C00-00000B000000}" name="Actual 17/18" totalsRowFunction="custom" dataDxfId="788" totalsRowDxfId="789">
      <totalsRowFormula>SUBTOTAL(109,AcademicAffairsRevenues[Revenues])</totalsRowFormula>
    </tableColumn>
    <tableColumn id="12" xr3:uid="{00000000-0010-0000-3C00-00000C000000}" name="Budget 18/19" totalsRowFunction="custom" dataDxfId="786" totalsRowDxfId="787">
      <totalsRowFormula>SUBTOTAL(109,AcademicAffairsRevenues[Budget 13/14])</totalsRowFormula>
    </tableColumn>
    <tableColumn id="15" xr3:uid="{00000000-0010-0000-3C00-00000F000000}" name="Actual 18/19" dataDxfId="784" totalsRowDxfId="785"/>
    <tableColumn id="13" xr3:uid="{00000000-0010-0000-3C00-00000D000000}" name="Budget 19/20" totalsRowFunction="custom" dataDxfId="782" totalsRowDxfId="783">
      <totalsRowFormula>SUBTOTAL(109,AcademicAffairsRevenues[Actual 13/14])</totalsRowFormula>
    </tableColumn>
    <tableColumn id="14" xr3:uid="{00000000-0010-0000-3C00-00000E000000}" name="Budget 20/21" dataDxfId="780" totalsRowDxfId="781"/>
  </tableColumns>
  <tableStyleInfo name="Feds Budget" showFirstColumn="0" showLastColumn="0" showRowStripes="0" showColumnStripes="1"/>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3D000000}" name="AcademicAffairsExpenses" displayName="AcademicAffairsExpenses" ref="B8:P29" totalsRowCount="1" headerRowDxfId="779" dataDxfId="778">
  <tableColumns count="15">
    <tableColumn id="1" xr3:uid="{00000000-0010-0000-3D00-000001000000}" name="Expenses" totalsRowLabel="Total" dataDxfId="776" totalsRowDxfId="777"/>
    <tableColumn id="2" xr3:uid="{00000000-0010-0000-3D00-000002000000}" name="Budget 13/14" totalsRowFunction="sum" dataDxfId="774" totalsRowDxfId="775" dataCellStyle="Currency 2"/>
    <tableColumn id="3" xr3:uid="{00000000-0010-0000-3D00-000003000000}" name="Actual 13/14" totalsRowFunction="sum" dataDxfId="772" totalsRowDxfId="773" dataCellStyle="Currency 2"/>
    <tableColumn id="4" xr3:uid="{00000000-0010-0000-3D00-000004000000}" name="Budget 14/15" totalsRowFunction="sum" dataDxfId="770" totalsRowDxfId="771" dataCellStyle="Currency 2"/>
    <tableColumn id="5" xr3:uid="{00000000-0010-0000-3D00-000005000000}" name="Actual 14/15" totalsRowFunction="sum" dataDxfId="768" totalsRowDxfId="769" dataCellStyle="Currency 2"/>
    <tableColumn id="6" xr3:uid="{00000000-0010-0000-3D00-000006000000}" name="Budget 15/16" totalsRowFunction="sum" dataDxfId="766" totalsRowDxfId="767" dataCellStyle="Currency 2"/>
    <tableColumn id="7" xr3:uid="{00000000-0010-0000-3D00-000007000000}" name="Actual 15/16" totalsRowFunction="sum" dataDxfId="764" totalsRowDxfId="765" dataCellStyle="Currency 2"/>
    <tableColumn id="8" xr3:uid="{00000000-0010-0000-3D00-000008000000}" name="Budget 16/17" totalsRowFunction="sum" dataDxfId="762" totalsRowDxfId="763" dataCellStyle="Currency 2"/>
    <tableColumn id="9" xr3:uid="{00000000-0010-0000-3D00-000009000000}" name="Actual 16/17" totalsRowFunction="sum" dataDxfId="760" totalsRowDxfId="761" dataCellStyle="Currency 2"/>
    <tableColumn id="10" xr3:uid="{00000000-0010-0000-3D00-00000A000000}" name="Budget 17/18" totalsRowFunction="sum" dataDxfId="758" totalsRowDxfId="759" dataCellStyle="Currency 2"/>
    <tableColumn id="11" xr3:uid="{00000000-0010-0000-3D00-00000B000000}" name="Actual 17/18" totalsRowFunction="custom" dataDxfId="756" totalsRowDxfId="757" dataCellStyle="Currency">
      <totalsRowFormula>SUM(AcademicAffairsExpenses[Actual 17/18])</totalsRowFormula>
    </tableColumn>
    <tableColumn id="12" xr3:uid="{00000000-0010-0000-3D00-00000C000000}" name="Budget 18/19" totalsRowFunction="sum" dataDxfId="754" totalsRowDxfId="755" dataCellStyle="Currency"/>
    <tableColumn id="15" xr3:uid="{00000000-0010-0000-3D00-00000F000000}" name="Actual 18/19" totalsRowFunction="sum" dataDxfId="752" totalsRowDxfId="753" dataCellStyle="Currency 2"/>
    <tableColumn id="13" xr3:uid="{00000000-0010-0000-3D00-00000D000000}" name="Budget 19/20" totalsRowFunction="custom" dataDxfId="750" totalsRowDxfId="751" dataCellStyle="Currency">
      <totalsRowFormula>SUM(AcademicAffairsExpenses[Budget 19/20])</totalsRowFormula>
    </tableColumn>
    <tableColumn id="14" xr3:uid="{00000000-0010-0000-3D00-00000E000000}" name="Budget 20/21" dataDxfId="748" totalsRowDxfId="749" dataCellStyle="Currency"/>
  </tableColumns>
  <tableStyleInfo name="Feds Budget" showFirstColumn="0" showLastColumn="0" showRowStripes="0" showColumnStripes="1"/>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3E000000}" name="GovernmentAffairsRevenue11180" displayName="GovernmentAffairsRevenue11180" ref="B4:R6" totalsRowCount="1" headerRowDxfId="747" dataDxfId="746">
  <tableColumns count="17">
    <tableColumn id="1" xr3:uid="{00000000-0010-0000-3E00-000001000000}" name="Revenues" totalsRowLabel="Total" dataDxfId="744" totalsRowDxfId="745"/>
    <tableColumn id="2" xr3:uid="{00000000-0010-0000-3E00-000002000000}" name="Budget 10/11" totalsRowFunction="sum" dataDxfId="742" totalsRowDxfId="743"/>
    <tableColumn id="3" xr3:uid="{00000000-0010-0000-3E00-000003000000}" name="Actual 10/11" totalsRowFunction="sum" dataDxfId="740" totalsRowDxfId="741"/>
    <tableColumn id="4" xr3:uid="{00000000-0010-0000-3E00-000004000000}" name="Budget 11/12" totalsRowFunction="sum" dataDxfId="738" totalsRowDxfId="739"/>
    <tableColumn id="5" xr3:uid="{00000000-0010-0000-3E00-000005000000}" name="Actual 11/12" totalsRowFunction="sum" dataDxfId="736" totalsRowDxfId="737"/>
    <tableColumn id="6" xr3:uid="{00000000-0010-0000-3E00-000006000000}" name="Budget 12/13" totalsRowFunction="sum" dataDxfId="734" totalsRowDxfId="735"/>
    <tableColumn id="7" xr3:uid="{00000000-0010-0000-3E00-000007000000}" name="Actual 12/13" totalsRowFunction="sum" dataDxfId="732" totalsRowDxfId="733"/>
    <tableColumn id="8" xr3:uid="{00000000-0010-0000-3E00-000008000000}" name="Budget 13/14" totalsRowFunction="sum" dataDxfId="730" totalsRowDxfId="731"/>
    <tableColumn id="9" xr3:uid="{00000000-0010-0000-3E00-000009000000}" name="Actual 13/14" totalsRowFunction="sum" dataDxfId="728" totalsRowDxfId="729"/>
    <tableColumn id="10" xr3:uid="{00000000-0010-0000-3E00-00000A000000}" name="Budget 14/15" totalsRowFunction="sum" dataDxfId="726" totalsRowDxfId="727"/>
    <tableColumn id="11" xr3:uid="{00000000-0010-0000-3E00-00000B000000}" name="Actual 14/15" totalsRowFunction="sum" dataDxfId="724" totalsRowDxfId="725"/>
    <tableColumn id="12" xr3:uid="{00000000-0010-0000-3E00-00000C000000}" name="Budget 15/16" totalsRowFunction="sum" dataDxfId="722" totalsRowDxfId="723"/>
    <tableColumn id="13" xr3:uid="{00000000-0010-0000-3E00-00000D000000}" name="Actual 15/16" totalsRowFunction="sum" dataDxfId="720" totalsRowDxfId="721" dataCellStyle="Currency 2"/>
    <tableColumn id="14" xr3:uid="{00000000-0010-0000-3E00-00000E000000}" name="Budget 16/17" totalsRowFunction="sum" dataDxfId="718" totalsRowDxfId="719" dataCellStyle="Currency 2"/>
    <tableColumn id="15" xr3:uid="{00000000-0010-0000-3E00-00000F000000}" name="Budget 17/18" dataDxfId="716" totalsRowDxfId="717"/>
    <tableColumn id="16" xr3:uid="{00000000-0010-0000-3E00-000010000000}" name="Budget 18/19" dataDxfId="714" totalsRowDxfId="715"/>
    <tableColumn id="17" xr3:uid="{00000000-0010-0000-3E00-000011000000}" name="Budget 19/20" dataDxfId="712" totalsRowDxfId="713"/>
  </tableColumns>
  <tableStyleInfo name="Feds Budget" showFirstColumn="0" showLastColumn="0" showRowStripes="0" showColumnStripes="1"/>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F000000}" name="GovernmentAffairsExpenses11281" displayName="GovernmentAffairsExpenses11281" ref="B8:R19" totalsRowCount="1" headerRowDxfId="711" dataDxfId="710" dataCellStyle="Currency 2">
  <tableColumns count="17">
    <tableColumn id="1" xr3:uid="{00000000-0010-0000-3F00-000001000000}" name="Expenses" totalsRowLabel="Total" dataDxfId="708" totalsRowDxfId="709"/>
    <tableColumn id="2" xr3:uid="{00000000-0010-0000-3F00-000002000000}" name="Budget 10/11" totalsRowFunction="sum" dataDxfId="706" totalsRowDxfId="707" dataCellStyle="Currency 2"/>
    <tableColumn id="3" xr3:uid="{00000000-0010-0000-3F00-000003000000}" name="Actual 10/11" totalsRowFunction="sum" dataDxfId="704" totalsRowDxfId="705" dataCellStyle="Currency 2"/>
    <tableColumn id="4" xr3:uid="{00000000-0010-0000-3F00-000004000000}" name="Budget 11/12" totalsRowFunction="sum" dataDxfId="702" totalsRowDxfId="703" dataCellStyle="Currency 2"/>
    <tableColumn id="5" xr3:uid="{00000000-0010-0000-3F00-000005000000}" name="Actual 11/12" totalsRowFunction="sum" dataDxfId="700" totalsRowDxfId="701" dataCellStyle="Currency 2"/>
    <tableColumn id="6" xr3:uid="{00000000-0010-0000-3F00-000006000000}" name="Budget 12/13" totalsRowFunction="sum" dataDxfId="698" totalsRowDxfId="699" dataCellStyle="Currency 2"/>
    <tableColumn id="7" xr3:uid="{00000000-0010-0000-3F00-000007000000}" name="Actual 12/13" totalsRowFunction="sum" dataDxfId="696" totalsRowDxfId="697" dataCellStyle="Currency 2"/>
    <tableColumn id="8" xr3:uid="{00000000-0010-0000-3F00-000008000000}" name="Budget 13/14" totalsRowFunction="sum" dataDxfId="694" totalsRowDxfId="695" dataCellStyle="Currency 2"/>
    <tableColumn id="9" xr3:uid="{00000000-0010-0000-3F00-000009000000}" name="Actual 13/14" totalsRowFunction="sum" dataDxfId="692" totalsRowDxfId="693" dataCellStyle="Currency 2"/>
    <tableColumn id="10" xr3:uid="{00000000-0010-0000-3F00-00000A000000}" name="Budget 14/15" totalsRowFunction="sum" dataDxfId="690" totalsRowDxfId="691" dataCellStyle="Currency 2"/>
    <tableColumn id="11" xr3:uid="{00000000-0010-0000-3F00-00000B000000}" name="Actual 14/15" totalsRowFunction="sum" dataDxfId="688" totalsRowDxfId="689" dataCellStyle="Currency 2"/>
    <tableColumn id="12" xr3:uid="{00000000-0010-0000-3F00-00000C000000}" name="Budget 15/16" totalsRowFunction="sum" dataDxfId="686" totalsRowDxfId="687" dataCellStyle="Currency 2"/>
    <tableColumn id="13" xr3:uid="{00000000-0010-0000-3F00-00000D000000}" name="Actual 15/16" totalsRowFunction="sum" dataDxfId="684" totalsRowDxfId="685" dataCellStyle="Currency 2"/>
    <tableColumn id="14" xr3:uid="{00000000-0010-0000-3F00-00000E000000}" name="Budget 17/118" totalsRowFunction="sum" dataDxfId="682" totalsRowDxfId="683" dataCellStyle="Currency 2"/>
    <tableColumn id="15" xr3:uid="{00000000-0010-0000-3F00-00000F000000}" name="Budget 16/18" dataDxfId="680" totalsRowDxfId="681" dataCellStyle="Currency 2"/>
    <tableColumn id="16" xr3:uid="{00000000-0010-0000-3F00-000010000000}" name="Budget 18/19" dataDxfId="678" totalsRowDxfId="679" dataCellStyle="Currency 2"/>
    <tableColumn id="17" xr3:uid="{00000000-0010-0000-3F00-000011000000}" name="Budget 19/20" totalsRowFunction="custom" dataDxfId="676" totalsRowDxfId="677" dataCellStyle="Currency 2">
      <totalsRowFormula>SUM(R9:R18)</totalsRowFormula>
    </tableColumn>
  </tableColumns>
  <tableStyleInfo name="Feds Budget" showFirstColumn="0" showLastColumn="0" showRowStripes="0" showColumnStripes="1"/>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40000000}" name="LocalAffairsRevenues" displayName="LocalAffairsRevenues" ref="B4:P6" totalsRowCount="1" headerRowDxfId="675" dataDxfId="674">
  <tableColumns count="15">
    <tableColumn id="1" xr3:uid="{00000000-0010-0000-4000-000001000000}" name="Revenues" totalsRowLabel="Total" dataDxfId="672" totalsRowDxfId="673"/>
    <tableColumn id="2" xr3:uid="{00000000-0010-0000-4000-000002000000}" name="Budget 13/14" totalsRowFunction="sum" dataDxfId="670" totalsRowDxfId="671"/>
    <tableColumn id="3" xr3:uid="{00000000-0010-0000-4000-000003000000}" name="Actual 13/14" totalsRowFunction="sum" dataDxfId="668" totalsRowDxfId="669"/>
    <tableColumn id="4" xr3:uid="{00000000-0010-0000-4000-000004000000}" name="Budget 14/15" totalsRowFunction="sum" dataDxfId="666" totalsRowDxfId="667"/>
    <tableColumn id="5" xr3:uid="{00000000-0010-0000-4000-000005000000}" name="Actual 14/15" totalsRowFunction="sum" dataDxfId="664" totalsRowDxfId="665"/>
    <tableColumn id="6" xr3:uid="{00000000-0010-0000-4000-000006000000}" name="Budget 15/16" totalsRowFunction="sum" dataDxfId="662" totalsRowDxfId="663"/>
    <tableColumn id="7" xr3:uid="{00000000-0010-0000-4000-000007000000}" name="Actual 15/16" totalsRowFunction="sum" dataDxfId="660" totalsRowDxfId="661"/>
    <tableColumn id="8" xr3:uid="{00000000-0010-0000-4000-000008000000}" name="Budget 16/17" totalsRowFunction="sum" dataDxfId="658" totalsRowDxfId="659"/>
    <tableColumn id="9" xr3:uid="{00000000-0010-0000-4000-000009000000}" name="Actual 16/17" totalsRowFunction="sum" dataDxfId="656" totalsRowDxfId="657"/>
    <tableColumn id="10" xr3:uid="{00000000-0010-0000-4000-00000A000000}" name="Budget 17/18" totalsRowFunction="sum" dataDxfId="654" totalsRowDxfId="655"/>
    <tableColumn id="11" xr3:uid="{00000000-0010-0000-4000-00000B000000}" name="Actual 17/18" totalsRowFunction="custom" dataDxfId="652" totalsRowDxfId="653">
      <totalsRowFormula>SUBTOTAL(109,LocalAffairsRevenues[Revenues])</totalsRowFormula>
    </tableColumn>
    <tableColumn id="12" xr3:uid="{00000000-0010-0000-4000-00000C000000}" name="Budget 18/19" totalsRowFunction="custom" dataDxfId="650" totalsRowDxfId="651">
      <totalsRowFormula>SUBTOTAL(109,LocalAffairsRevenues[Budget 13/14])</totalsRowFormula>
    </tableColumn>
    <tableColumn id="15" xr3:uid="{00000000-0010-0000-4000-00000F000000}" name="Actual 18/19" dataDxfId="648" totalsRowDxfId="649"/>
    <tableColumn id="13" xr3:uid="{00000000-0010-0000-4000-00000D000000}" name="Budget 19/20" totalsRowFunction="custom" dataDxfId="646" totalsRowDxfId="647">
      <totalsRowFormula>SUBTOTAL(109,LocalAffairsRevenues[Actual 13/14])</totalsRowFormula>
    </tableColumn>
    <tableColumn id="14" xr3:uid="{00000000-0010-0000-4000-00000E000000}" name="Budget 20/21" totalsRowFunction="custom" dataDxfId="644" totalsRowDxfId="645">
      <totalsRowFormula>SUBTOTAL(109,LocalAffairsRevenues[Budget 14/15])</totalsRowFormula>
    </tableColumn>
  </tableColumns>
  <tableStyleInfo name="Feds Budget" showFirstColumn="0" showLastColumn="0" showRowStripes="0" showColumnStripes="1"/>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41000000}" name="LocalAffairsExpenses" displayName="LocalAffairsExpenses" ref="B8:P26" totalsRowCount="1" headerRowDxfId="643" dataDxfId="642">
  <tableColumns count="15">
    <tableColumn id="1" xr3:uid="{00000000-0010-0000-4100-000001000000}" name="Expenses" totalsRowLabel="Total" dataDxfId="640" totalsRowDxfId="641"/>
    <tableColumn id="2" xr3:uid="{00000000-0010-0000-4100-000002000000}" name="Budget 13/14" totalsRowFunction="sum" dataDxfId="638" totalsRowDxfId="639"/>
    <tableColumn id="3" xr3:uid="{00000000-0010-0000-4100-000003000000}" name="Actual 13/14" totalsRowFunction="sum" dataDxfId="636" totalsRowDxfId="637"/>
    <tableColumn id="4" xr3:uid="{00000000-0010-0000-4100-000004000000}" name="Budget 14/15" totalsRowFunction="sum" dataDxfId="634" totalsRowDxfId="635"/>
    <tableColumn id="5" xr3:uid="{00000000-0010-0000-4100-000005000000}" name="Actual 14/15" totalsRowFunction="sum" dataDxfId="632" totalsRowDxfId="633"/>
    <tableColumn id="6" xr3:uid="{00000000-0010-0000-4100-000006000000}" name="Budget 15/16" totalsRowFunction="sum" dataDxfId="630" totalsRowDxfId="631"/>
    <tableColumn id="7" xr3:uid="{00000000-0010-0000-4100-000007000000}" name="Actual 15/16" totalsRowFunction="sum" dataDxfId="628" totalsRowDxfId="629"/>
    <tableColumn id="8" xr3:uid="{00000000-0010-0000-4100-000008000000}" name="Budget 16/17" totalsRowFunction="sum" dataDxfId="626" totalsRowDxfId="627"/>
    <tableColumn id="9" xr3:uid="{00000000-0010-0000-4100-000009000000}" name="Actual 16/17" totalsRowFunction="sum" dataDxfId="624" totalsRowDxfId="625"/>
    <tableColumn id="10" xr3:uid="{00000000-0010-0000-4100-00000A000000}" name="Budget 17/18" totalsRowFunction="sum" dataDxfId="622" totalsRowDxfId="623"/>
    <tableColumn id="11" xr3:uid="{00000000-0010-0000-4100-00000B000000}" name="Actual 17/18" totalsRowFunction="sum" dataDxfId="620" totalsRowDxfId="621"/>
    <tableColumn id="12" xr3:uid="{00000000-0010-0000-4100-00000C000000}" name="Budget 18/19" totalsRowFunction="sum" dataDxfId="618" totalsRowDxfId="619" dataCellStyle="Currency"/>
    <tableColumn id="15" xr3:uid="{00000000-0010-0000-4100-00000F000000}" name="Actual 18/19" totalsRowFunction="sum" dataDxfId="616" totalsRowDxfId="617"/>
    <tableColumn id="13" xr3:uid="{00000000-0010-0000-4100-00000D000000}" name="Budget 19/20" totalsRowFunction="sum" dataDxfId="614" totalsRowDxfId="615" dataCellStyle="Currency"/>
    <tableColumn id="14" xr3:uid="{00000000-0010-0000-4100-00000E000000}" name="Budget 20/21" totalsRowDxfId="613" dataCellStyle="Currency"/>
  </tableColumns>
  <tableStyleInfo name="Feds Budget" showFirstColumn="0" showLastColumn="0" showRowStripes="0" showColumnStripes="1"/>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42000000}" name="OUSARevenues" displayName="OUSARevenues" ref="B4:V7" totalsRowCount="1" headerRowDxfId="612" dataDxfId="611" totalsRowDxfId="610" headerRowBorderDxfId="608" tableBorderDxfId="609" totalsRowBorderDxfId="607">
  <tableColumns count="21">
    <tableColumn id="1" xr3:uid="{00000000-0010-0000-4200-000001000000}" name="Revenues" totalsRowLabel="Total" dataDxfId="605" totalsRowDxfId="606"/>
    <tableColumn id="2" xr3:uid="{00000000-0010-0000-4200-000002000000}" name="Budget 10/11" totalsRowFunction="sum" dataDxfId="603" totalsRowDxfId="604"/>
    <tableColumn id="3" xr3:uid="{00000000-0010-0000-4200-000003000000}" name="Actual 10/11" totalsRowFunction="sum" dataDxfId="601" totalsRowDxfId="602"/>
    <tableColumn id="4" xr3:uid="{00000000-0010-0000-4200-000004000000}" name="Budget 11/12" totalsRowFunction="sum" dataDxfId="599" totalsRowDxfId="600"/>
    <tableColumn id="5" xr3:uid="{00000000-0010-0000-4200-000005000000}" name="Actual 11/12" totalsRowFunction="sum" dataDxfId="597" totalsRowDxfId="598"/>
    <tableColumn id="6" xr3:uid="{00000000-0010-0000-4200-000006000000}" name="Budget 12/13" totalsRowFunction="sum" dataDxfId="595" totalsRowDxfId="596"/>
    <tableColumn id="7" xr3:uid="{00000000-0010-0000-4200-000007000000}" name="Actual 12/13" totalsRowFunction="sum" dataDxfId="593" totalsRowDxfId="594"/>
    <tableColumn id="8" xr3:uid="{00000000-0010-0000-4200-000008000000}" name="Budget 13/14" totalsRowFunction="sum" dataDxfId="591" totalsRowDxfId="592"/>
    <tableColumn id="9" xr3:uid="{00000000-0010-0000-4200-000009000000}" name="Actual 13/14" totalsRowFunction="sum" dataDxfId="589" totalsRowDxfId="590"/>
    <tableColumn id="10" xr3:uid="{00000000-0010-0000-4200-00000A000000}" name="Budget 14/15" totalsRowFunction="sum" dataDxfId="587" totalsRowDxfId="588"/>
    <tableColumn id="11" xr3:uid="{00000000-0010-0000-4200-00000B000000}" name="Actual 14/15" totalsRowFunction="sum" dataDxfId="585" totalsRowDxfId="586"/>
    <tableColumn id="12" xr3:uid="{00000000-0010-0000-4200-00000C000000}" name="Budget 15/16" totalsRowFunction="sum" dataDxfId="583" totalsRowDxfId="584"/>
    <tableColumn id="13" xr3:uid="{00000000-0010-0000-4200-00000D000000}" name="Actual 15/16" totalsRowFunction="sum" dataDxfId="581" totalsRowDxfId="582"/>
    <tableColumn id="14" xr3:uid="{00000000-0010-0000-4200-00000E000000}" name="Budget 16/17" totalsRowFunction="sum" dataDxfId="579" totalsRowDxfId="580"/>
    <tableColumn id="15" xr3:uid="{00000000-0010-0000-4200-00000F000000}" name="Actual 16/17" totalsRowFunction="sum" dataDxfId="577" totalsRowDxfId="578"/>
    <tableColumn id="16" xr3:uid="{00000000-0010-0000-4200-000010000000}" name="Budget 17/18" totalsRowFunction="sum" dataDxfId="575" totalsRowDxfId="576"/>
    <tableColumn id="17" xr3:uid="{00000000-0010-0000-4200-000011000000}" name="Actual 17/18" totalsRowFunction="custom" dataDxfId="573" totalsRowDxfId="574">
      <totalsRowFormula>SUBTOTAL(109,OUSARevenues[Revenues])</totalsRowFormula>
    </tableColumn>
    <tableColumn id="18" xr3:uid="{00000000-0010-0000-4200-000012000000}" name="Budget 18/19" totalsRowFunction="custom" dataDxfId="571" totalsRowDxfId="572">
      <totalsRowFormula>SUBTOTAL(109,OUSARevenues[Budget 10/11])</totalsRowFormula>
    </tableColumn>
    <tableColumn id="21" xr3:uid="{00000000-0010-0000-4200-000015000000}" name="Actual 18/19" dataDxfId="569" totalsRowDxfId="570"/>
    <tableColumn id="19" xr3:uid="{00000000-0010-0000-4200-000013000000}" name="Budget 19/20" totalsRowFunction="custom" dataDxfId="567" totalsRowDxfId="568">
      <totalsRowFormula>SUBTOTAL(109,OUSARevenues[Actual 10/11])</totalsRowFormula>
    </tableColumn>
    <tableColumn id="20" xr3:uid="{00000000-0010-0000-4200-000014000000}" name="Budget 20/21" dataDxfId="565" totalsRowDxfId="566"/>
  </tableColumns>
  <tableStyleInfo name="Feds Budget" showFirstColumn="0" showLastColumn="0" showRowStripes="0" showColumnStripes="1"/>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43000000}" name="OUSAExpenses" displayName="OUSAExpenses" ref="B9:V15" totalsRowCount="1" headerRowDxfId="564" dataDxfId="563" headerRowCellStyle="Currency 2" dataCellStyle="Currency 2">
  <tableColumns count="21">
    <tableColumn id="1" xr3:uid="{00000000-0010-0000-4300-000001000000}" name="Expenses" totalsRowLabel="Total" dataDxfId="561" totalsRowDxfId="562"/>
    <tableColumn id="2" xr3:uid="{00000000-0010-0000-4300-000002000000}" name="Budget 10/11" totalsRowFunction="sum" dataDxfId="559" totalsRowDxfId="560" dataCellStyle="Currency 2"/>
    <tableColumn id="3" xr3:uid="{00000000-0010-0000-4300-000003000000}" name="Actual 10/11" totalsRowFunction="sum" dataDxfId="557" totalsRowDxfId="558" dataCellStyle="Currency 2"/>
    <tableColumn id="4" xr3:uid="{00000000-0010-0000-4300-000004000000}" name="Budget 11/12" totalsRowFunction="sum" dataDxfId="555" totalsRowDxfId="556" dataCellStyle="Currency 2"/>
    <tableColumn id="5" xr3:uid="{00000000-0010-0000-4300-000005000000}" name="Actual 11/12" totalsRowFunction="sum" dataDxfId="553" totalsRowDxfId="554" dataCellStyle="Currency 2"/>
    <tableColumn id="6" xr3:uid="{00000000-0010-0000-4300-000006000000}" name="Budget 11/122" totalsRowFunction="sum" dataDxfId="551" totalsRowDxfId="552" dataCellStyle="Currency 2"/>
    <tableColumn id="7" xr3:uid="{00000000-0010-0000-4300-000007000000}" name="Actual 12/13" totalsRowFunction="sum" dataDxfId="549" totalsRowDxfId="550" dataCellStyle="Currency 2"/>
    <tableColumn id="8" xr3:uid="{00000000-0010-0000-4300-000008000000}" name="Budget 13/14" totalsRowFunction="sum" dataDxfId="547" totalsRowDxfId="548" dataCellStyle="Currency 2"/>
    <tableColumn id="9" xr3:uid="{00000000-0010-0000-4300-000009000000}" name="Actual 13/14" totalsRowFunction="sum" dataDxfId="545" totalsRowDxfId="546" dataCellStyle="Currency 2"/>
    <tableColumn id="10" xr3:uid="{00000000-0010-0000-4300-00000A000000}" name="Budget 14/15" totalsRowFunction="sum" dataDxfId="543" totalsRowDxfId="544" dataCellStyle="Currency 2"/>
    <tableColumn id="11" xr3:uid="{00000000-0010-0000-4300-00000B000000}" name="Actual 14/15" totalsRowFunction="sum" dataDxfId="541" totalsRowDxfId="542" dataCellStyle="Currency 2"/>
    <tableColumn id="12" xr3:uid="{00000000-0010-0000-4300-00000C000000}" name="Budget 15/16" totalsRowFunction="sum" dataDxfId="539" totalsRowDxfId="540" dataCellStyle="Currency 2"/>
    <tableColumn id="13" xr3:uid="{00000000-0010-0000-4300-00000D000000}" name="Actual 15/16" totalsRowFunction="sum" dataDxfId="537" totalsRowDxfId="538" dataCellStyle="Currency 2"/>
    <tableColumn id="14" xr3:uid="{00000000-0010-0000-4300-00000E000000}" name="Budget 16/17" totalsRowFunction="sum" dataDxfId="535" totalsRowDxfId="536" dataCellStyle="Currency 2"/>
    <tableColumn id="15" xr3:uid="{00000000-0010-0000-4300-00000F000000}" name="Actual 16/17" totalsRowFunction="sum" dataDxfId="533" totalsRowDxfId="534" dataCellStyle="Currency 2"/>
    <tableColumn id="16" xr3:uid="{00000000-0010-0000-4300-000010000000}" name="Budget 17/18" totalsRowFunction="sum" dataDxfId="531" totalsRowDxfId="532" dataCellStyle="Currency 2"/>
    <tableColumn id="17" xr3:uid="{00000000-0010-0000-4300-000011000000}" name="Actual 17/18" totalsRowFunction="sum" dataDxfId="529" totalsRowDxfId="530" dataCellStyle="Currency"/>
    <tableColumn id="18" xr3:uid="{00000000-0010-0000-4300-000012000000}" name="Budget 18/19" totalsRowFunction="custom" dataDxfId="527" totalsRowDxfId="528" dataCellStyle="Currency">
      <totalsRowFormula>SUM(OUSAExpenses[Budget 18/19])</totalsRowFormula>
    </tableColumn>
    <tableColumn id="21" xr3:uid="{00000000-0010-0000-4300-000015000000}" name="Actual 18/19" totalsRowFunction="custom" dataDxfId="525" totalsRowDxfId="526" dataCellStyle="Currency">
      <totalsRowFormula>SUM(OUSAExpenses[Actual 18/19])</totalsRowFormula>
    </tableColumn>
    <tableColumn id="19" xr3:uid="{00000000-0010-0000-4300-000013000000}" name="Budget 19/20" totalsRowFunction="custom" dataDxfId="523" totalsRowDxfId="524" dataCellStyle="Currency 2">
      <totalsRowFormula>SUM(U11:U14)</totalsRowFormula>
    </tableColumn>
    <tableColumn id="20" xr3:uid="{00000000-0010-0000-4300-000014000000}" name="Budget 20/21" totalsRowDxfId="522" dataCellStyle="Currency"/>
  </tableColumns>
  <tableStyleInfo name="Feds Budget" showFirstColumn="0" showLastColumn="0" showRowStripes="0" showColumnStripes="1"/>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44000000}" name="SRORevenues" displayName="SRORevenues" ref="B4:L6" totalsRowCount="1" headerRowDxfId="521">
  <tableColumns count="11">
    <tableColumn id="1" xr3:uid="{00000000-0010-0000-4400-000001000000}" name="Revenues" totalsRowLabel="Total" dataDxfId="519" totalsRowDxfId="520"/>
    <tableColumn id="2" xr3:uid="{00000000-0010-0000-4400-000002000000}" name="Budget 15/16" totalsRowFunction="sum" dataDxfId="517" totalsRowDxfId="518"/>
    <tableColumn id="3" xr3:uid="{00000000-0010-0000-4400-000003000000}" name="Actual 15/16" totalsRowFunction="sum" dataDxfId="515" totalsRowDxfId="516"/>
    <tableColumn id="4" xr3:uid="{00000000-0010-0000-4400-000004000000}" name="Budget 16/17" totalsRowFunction="sum" dataDxfId="513" totalsRowDxfId="514"/>
    <tableColumn id="5" xr3:uid="{00000000-0010-0000-4400-000005000000}" name="Actual 16/17" totalsRowFunction="sum" dataDxfId="511" totalsRowDxfId="512"/>
    <tableColumn id="6" xr3:uid="{00000000-0010-0000-4400-000006000000}" name="Budget 17/18" totalsRowFunction="sum" dataDxfId="509" totalsRowDxfId="510" dataCellStyle="Currency"/>
    <tableColumn id="7" xr3:uid="{00000000-0010-0000-4400-000007000000}" name="Actual 17/18" totalsRowFunction="custom" dataDxfId="507" totalsRowDxfId="508" dataCellStyle="Currency">
      <totalsRowFormula>SUBTOTAL(109,SRORevenues[Revenues])</totalsRowFormula>
    </tableColumn>
    <tableColumn id="8" xr3:uid="{00000000-0010-0000-4400-000008000000}" name="Budget 18/19" dataDxfId="505" totalsRowDxfId="506" dataCellStyle="Currency"/>
    <tableColumn id="11" xr3:uid="{00000000-0010-0000-4400-00000B000000}" name="Actual 18/19" dataDxfId="503" totalsRowDxfId="504" dataCellStyle="Currency"/>
    <tableColumn id="9" xr3:uid="{00000000-0010-0000-4400-000009000000}" name="Budget 19/20" dataDxfId="501" totalsRowDxfId="502" dataCellStyle="Currency"/>
    <tableColumn id="10" xr3:uid="{00000000-0010-0000-4400-00000A000000}" name="Budget 20/21" dataDxfId="499" totalsRowDxfId="500" dataCellStyle="Currency"/>
  </tableColumns>
  <tableStyleInfo name="Feds Budget" showFirstColumn="0" showLastColumn="0" showRowStripes="0" showColumnStripes="1"/>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StudentGovernmentRevenues" displayName="StudentGovernmentRevenues" ref="B4:V6" totalsRowCount="1" headerRowDxfId="2666" dataDxfId="2665" dataCellStyle="Currency 2">
  <tableColumns count="21">
    <tableColumn id="1" xr3:uid="{00000000-0010-0000-0600-000001000000}" name="Revenues" totalsRowLabel="Total" totalsRowDxfId="2664"/>
    <tableColumn id="2" xr3:uid="{00000000-0010-0000-0600-000002000000}" name="Budget 10/11" totalsRowFunction="sum" totalsRowDxfId="2663" dataCellStyle="Currency 2"/>
    <tableColumn id="3" xr3:uid="{00000000-0010-0000-0600-000003000000}" name="Actual 10/11" totalsRowFunction="sum" totalsRowDxfId="2662" dataCellStyle="Currency 2"/>
    <tableColumn id="4" xr3:uid="{00000000-0010-0000-0600-000004000000}" name="Budget 11/12" totalsRowFunction="sum" totalsRowDxfId="2661" dataCellStyle="Currency 2"/>
    <tableColumn id="5" xr3:uid="{00000000-0010-0000-0600-000005000000}" name="Actual 11/12" totalsRowFunction="sum" totalsRowDxfId="2660" dataCellStyle="Currency 2"/>
    <tableColumn id="6" xr3:uid="{00000000-0010-0000-0600-000006000000}" name="Budget 12/13" totalsRowFunction="sum" totalsRowDxfId="2659" dataCellStyle="Currency 2"/>
    <tableColumn id="7" xr3:uid="{00000000-0010-0000-0600-000007000000}" name="Actual 12/13" totalsRowFunction="sum" totalsRowDxfId="2658" dataCellStyle="Currency 2"/>
    <tableColumn id="8" xr3:uid="{00000000-0010-0000-0600-000008000000}" name="Budget 13/14" totalsRowFunction="sum" totalsRowDxfId="2657" dataCellStyle="Currency 2"/>
    <tableColumn id="9" xr3:uid="{00000000-0010-0000-0600-000009000000}" name="Actual 13/14" totalsRowFunction="sum" totalsRowDxfId="2656" dataCellStyle="Currency 2"/>
    <tableColumn id="10" xr3:uid="{00000000-0010-0000-0600-00000A000000}" name="Budget 14/15" totalsRowFunction="sum" totalsRowDxfId="2655" dataCellStyle="Currency 2"/>
    <tableColumn id="11" xr3:uid="{00000000-0010-0000-0600-00000B000000}" name="Actual 14/15" totalsRowFunction="sum" totalsRowDxfId="2654" dataCellStyle="Currency 2"/>
    <tableColumn id="12" xr3:uid="{00000000-0010-0000-0600-00000C000000}" name="Budget 15/16" totalsRowFunction="sum" totalsRowDxfId="2653" dataCellStyle="Currency 2"/>
    <tableColumn id="13" xr3:uid="{00000000-0010-0000-0600-00000D000000}" name="Actual 15/16" totalsRowFunction="sum" totalsRowDxfId="2652" dataCellStyle="Currency 2"/>
    <tableColumn id="14" xr3:uid="{00000000-0010-0000-0600-00000E000000}" name="Budget 16/17" totalsRowFunction="sum" totalsRowDxfId="2651" dataCellStyle="Currency 2"/>
    <tableColumn id="15" xr3:uid="{00000000-0010-0000-0600-00000F000000}" name="Actual 16/17" totalsRowDxfId="2650" dataCellStyle="Currency 2"/>
    <tableColumn id="16" xr3:uid="{00000000-0010-0000-0600-000010000000}" name="Budget 17/18" totalsRowDxfId="2649" dataCellStyle="Currency 2"/>
    <tableColumn id="17" xr3:uid="{00000000-0010-0000-0600-000011000000}" name="Actual 17/18" totalsRowDxfId="2648" dataCellStyle="Currency 2"/>
    <tableColumn id="18" xr3:uid="{00000000-0010-0000-0600-000012000000}" name="Budget 18/19" totalsRowDxfId="2647" dataCellStyle="Currency 2"/>
    <tableColumn id="21" xr3:uid="{00000000-0010-0000-0600-000015000000}" name="Actual 18/19" dataDxfId="2645" totalsRowDxfId="2646" dataCellStyle="Currency 2"/>
    <tableColumn id="19" xr3:uid="{00000000-0010-0000-0600-000013000000}" name="Budget 19/20" totalsRowFunction="custom" totalsRowDxfId="2644" dataCellStyle="Currency">
      <totalsRowFormula>StudentGovernmentRevenues[Budget 19/20]</totalsRowFormula>
    </tableColumn>
    <tableColumn id="20" xr3:uid="{00000000-0010-0000-0600-000014000000}" name="Budget 20/21" dataDxfId="2643" dataCellStyle="Currency 2"/>
  </tableColumns>
  <tableStyleInfo name="Feds Budget" showFirstColumn="0" showLastColumn="0" showRowStripes="0" showColumnStripes="1"/>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45000000}" name="SROExpenses" displayName="SROExpenses" ref="B9:L19" totalsRowCount="1" headerRowDxfId="498" dataDxfId="497">
  <tableColumns count="11">
    <tableColumn id="1" xr3:uid="{00000000-0010-0000-4500-000001000000}" name="Expenses" totalsRowLabel="Total" dataDxfId="495" totalsRowDxfId="496"/>
    <tableColumn id="2" xr3:uid="{00000000-0010-0000-4500-000002000000}" name="Budget 15/16" totalsRowFunction="sum" dataDxfId="493" totalsRowDxfId="494" dataCellStyle="Currency 2"/>
    <tableColumn id="3" xr3:uid="{00000000-0010-0000-4500-000003000000}" name="Actual 15/16" totalsRowFunction="sum" dataDxfId="491" totalsRowDxfId="492" dataCellStyle="Currency 2"/>
    <tableColumn id="4" xr3:uid="{00000000-0010-0000-4500-000004000000}" name="Budget 16/17" totalsRowFunction="sum" dataDxfId="489" totalsRowDxfId="490" dataCellStyle="Currency 2"/>
    <tableColumn id="5" xr3:uid="{00000000-0010-0000-4500-000005000000}" name="Actual 16/17" totalsRowFunction="sum" dataDxfId="487" totalsRowDxfId="488" dataCellStyle="Currency 2"/>
    <tableColumn id="6" xr3:uid="{00000000-0010-0000-4500-000006000000}" name="Budget 17/18" totalsRowFunction="sum" dataDxfId="485" totalsRowDxfId="486" dataCellStyle="Currency 2"/>
    <tableColumn id="7" xr3:uid="{00000000-0010-0000-4500-000007000000}" name="Actual 17/18" totalsRowFunction="sum" dataDxfId="483" totalsRowDxfId="484" dataCellStyle="Currency"/>
    <tableColumn id="8" xr3:uid="{00000000-0010-0000-4500-000008000000}" name="Budget 18/19" totalsRowFunction="custom" dataDxfId="481" totalsRowDxfId="482" dataCellStyle="Currency">
      <totalsRowFormula>SUM(SROExpenses[Budget 18/19])</totalsRowFormula>
    </tableColumn>
    <tableColumn id="11" xr3:uid="{00000000-0010-0000-4500-00000B000000}" name="Actual 18/19" totalsRowFunction="custom" dataDxfId="479" totalsRowDxfId="480" dataCellStyle="Currency">
      <totalsRowFormula>SUM(SROExpenses[Actual 18/19])</totalsRowFormula>
    </tableColumn>
    <tableColumn id="9" xr3:uid="{00000000-0010-0000-4500-000009000000}" name="Budget 19/20" totalsRowFunction="custom" dataDxfId="477" totalsRowDxfId="478" dataCellStyle="Currency">
      <totalsRowFormula>SUM(SROExpenses[Budget 19/20])</totalsRowFormula>
    </tableColumn>
    <tableColumn id="10" xr3:uid="{00000000-0010-0000-4500-00000A000000}" name="Budget 20/21" dataDxfId="475" totalsRowDxfId="476" dataCellStyle="Currency"/>
  </tableColumns>
  <tableStyleInfo name="Feds Budget" showFirstColumn="0" showLastColumn="0" showRowStripes="0" showColumnStripes="1"/>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46000000}" name="VPOFSummary" displayName="VPOFSummary" ref="A13:U21" totalsRowCount="1" headerRowDxfId="474" dataDxfId="473">
  <tableColumns count="21">
    <tableColumn id="1" xr3:uid="{00000000-0010-0000-4600-000001000000}" name="Summary of Expenses" totalsRowLabel="Total" dataDxfId="471" totalsRowDxfId="472"/>
    <tableColumn id="2" xr3:uid="{00000000-0010-0000-4600-000002000000}" name="Budget 10/11" totalsRowFunction="sum" dataDxfId="469" totalsRowDxfId="470"/>
    <tableColumn id="3" xr3:uid="{00000000-0010-0000-4600-000003000000}" name="Actual 10/11" totalsRowFunction="sum" dataDxfId="467" totalsRowDxfId="468"/>
    <tableColumn id="4" xr3:uid="{00000000-0010-0000-4600-000004000000}" name="Budget 11/12" totalsRowFunction="sum" dataDxfId="465" totalsRowDxfId="466"/>
    <tableColumn id="5" xr3:uid="{00000000-0010-0000-4600-000005000000}" name="Actual 11/12" totalsRowFunction="sum" dataDxfId="463" totalsRowDxfId="464"/>
    <tableColumn id="6" xr3:uid="{00000000-0010-0000-4600-000006000000}" name="Budget 12/13" totalsRowFunction="sum" dataDxfId="461" totalsRowDxfId="462"/>
    <tableColumn id="7" xr3:uid="{00000000-0010-0000-4600-000007000000}" name="Actual 12/13" totalsRowFunction="sum" dataDxfId="459" totalsRowDxfId="460"/>
    <tableColumn id="8" xr3:uid="{00000000-0010-0000-4600-000008000000}" name="Budget 13/14" totalsRowFunction="sum" dataDxfId="457" totalsRowDxfId="458"/>
    <tableColumn id="9" xr3:uid="{00000000-0010-0000-4600-000009000000}" name="Actual 13/14" totalsRowFunction="sum" dataDxfId="455" totalsRowDxfId="456"/>
    <tableColumn id="14" xr3:uid="{00000000-0010-0000-4600-00000E000000}" name="Budget 14/15" totalsRowFunction="sum" dataDxfId="453" totalsRowDxfId="454"/>
    <tableColumn id="10" xr3:uid="{00000000-0010-0000-4600-00000A000000}" name="Actual 14/15" totalsRowFunction="sum" dataDxfId="451" totalsRowDxfId="452"/>
    <tableColumn id="11" xr3:uid="{00000000-0010-0000-4600-00000B000000}" name="Budget 15/16" totalsRowFunction="sum" dataDxfId="449" totalsRowDxfId="450"/>
    <tableColumn id="12" xr3:uid="{00000000-0010-0000-4600-00000C000000}" name="Actual 15/16" totalsRowFunction="sum" dataDxfId="447" totalsRowDxfId="448"/>
    <tableColumn id="13" xr3:uid="{00000000-0010-0000-4600-00000D000000}" name="Budget 16/17" totalsRowFunction="sum" dataDxfId="445" totalsRowDxfId="446"/>
    <tableColumn id="15" xr3:uid="{00000000-0010-0000-4600-00000F000000}" name="Actual 16/17" totalsRowFunction="sum" dataDxfId="443" totalsRowDxfId="444"/>
    <tableColumn id="16" xr3:uid="{00000000-0010-0000-4600-000010000000}" name="Budget 17/18" totalsRowFunction="sum" dataDxfId="441" totalsRowDxfId="442"/>
    <tableColumn id="17" xr3:uid="{00000000-0010-0000-4600-000011000000}" name="Actual 17/18" totalsRowFunction="sum" totalsRowDxfId="440"/>
    <tableColumn id="18" xr3:uid="{00000000-0010-0000-4600-000012000000}" name="Budget 18/19" totalsRowFunction="sum" dataDxfId="438" totalsRowDxfId="439" dataCellStyle="Currency"/>
    <tableColumn id="21" xr3:uid="{00000000-0010-0000-4600-000015000000}" name="Actual 18/19" totalsRowFunction="sum" dataDxfId="436" totalsRowDxfId="437" dataCellStyle="Currency"/>
    <tableColumn id="19" xr3:uid="{00000000-0010-0000-4600-000013000000}" name="Budget 19/20" totalsRowFunction="sum" dataDxfId="434" totalsRowDxfId="435" dataCellStyle="Currency"/>
    <tableColumn id="20" xr3:uid="{00000000-0010-0000-4600-000014000000}" name="Budget 20/21" dataDxfId="432" totalsRowDxfId="433" dataCellStyle="Currency"/>
  </tableColumns>
  <tableStyleInfo name="Feds Budget" showFirstColumn="0" showLastColumn="0" showRowStripes="0" showColumnStripes="1"/>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7000000}" name="VPOFSummary69" displayName="VPOFSummary69" ref="A4:U11" totalsRowCount="1" headerRowDxfId="431" dataDxfId="430">
  <tableColumns count="21">
    <tableColumn id="1" xr3:uid="{00000000-0010-0000-4700-000001000000}" name="Summary of Revenues/Gross Profit" totalsRowLabel="Total" dataDxfId="428" totalsRowDxfId="429"/>
    <tableColumn id="2" xr3:uid="{00000000-0010-0000-4700-000002000000}" name="Budget 10/11" dataDxfId="426" totalsRowDxfId="427"/>
    <tableColumn id="3" xr3:uid="{00000000-0010-0000-4700-000003000000}" name="Actual 10/11" dataDxfId="424" totalsRowDxfId="425"/>
    <tableColumn id="4" xr3:uid="{00000000-0010-0000-4700-000004000000}" name="Budget 11/12" dataDxfId="422" totalsRowDxfId="423"/>
    <tableColumn id="5" xr3:uid="{00000000-0010-0000-4700-000005000000}" name="Actual 11/12" dataDxfId="420" totalsRowDxfId="421"/>
    <tableColumn id="6" xr3:uid="{00000000-0010-0000-4700-000006000000}" name="Budget 12/13" dataDxfId="418" totalsRowDxfId="419"/>
    <tableColumn id="7" xr3:uid="{00000000-0010-0000-4700-000007000000}" name="Actual 12/13" dataDxfId="416" totalsRowDxfId="417"/>
    <tableColumn id="8" xr3:uid="{00000000-0010-0000-4700-000008000000}" name="Budget 13/14" dataDxfId="414" totalsRowDxfId="415"/>
    <tableColumn id="9" xr3:uid="{00000000-0010-0000-4700-000009000000}" name="Actual 13/14" dataDxfId="412" totalsRowDxfId="413"/>
    <tableColumn id="14" xr3:uid="{00000000-0010-0000-4700-00000E000000}" name="Budget 14/15" dataDxfId="410" totalsRowDxfId="411"/>
    <tableColumn id="10" xr3:uid="{00000000-0010-0000-4700-00000A000000}" name="Actual 14/15" dataDxfId="408" totalsRowDxfId="409"/>
    <tableColumn id="11" xr3:uid="{00000000-0010-0000-4700-00000B000000}" name="Budget 15/16" dataDxfId="406" totalsRowDxfId="407"/>
    <tableColumn id="12" xr3:uid="{00000000-0010-0000-4700-00000C000000}" name="Actual 15/16" dataDxfId="404" totalsRowDxfId="405"/>
    <tableColumn id="13" xr3:uid="{00000000-0010-0000-4700-00000D000000}" name="Budget 16/17" dataDxfId="402" totalsRowDxfId="403"/>
    <tableColumn id="15" xr3:uid="{00000000-0010-0000-4700-00000F000000}" name="Actual 16/17" dataDxfId="400" totalsRowDxfId="401"/>
    <tableColumn id="16" xr3:uid="{00000000-0010-0000-4700-000010000000}" name="Budget 17/18" dataDxfId="398" totalsRowDxfId="399"/>
    <tableColumn id="17" xr3:uid="{00000000-0010-0000-4700-000011000000}" name="Actual 17/18" totalsRowDxfId="397"/>
    <tableColumn id="18" xr3:uid="{00000000-0010-0000-4700-000012000000}" name="Budget 18/19" totalsRowFunction="sum" dataDxfId="395" totalsRowDxfId="396" dataCellStyle="Currency"/>
    <tableColumn id="21" xr3:uid="{00000000-0010-0000-4700-000015000000}" name="Actual 18/19" totalsRowFunction="sum" dataDxfId="393" totalsRowDxfId="394" dataCellStyle="Currency"/>
    <tableColumn id="19" xr3:uid="{00000000-0010-0000-4700-000013000000}" name="Budget 19/20" totalsRowFunction="sum" dataDxfId="391" totalsRowDxfId="392" dataCellStyle="Currency"/>
    <tableColumn id="20" xr3:uid="{00000000-0010-0000-4700-000014000000}" name="Budget 20/21" dataDxfId="389" totalsRowDxfId="390" dataCellStyle="Currency"/>
  </tableColumns>
  <tableStyleInfo name="Feds Budget" showFirstColumn="0" showLastColumn="0" showRowStripes="0" showColumnStripes="1"/>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48000000}" name="VPOFRevenues" displayName="VPOFRevenues" ref="B4:V6" totalsRowCount="1" headerRowDxfId="388" dataDxfId="387">
  <tableColumns count="21">
    <tableColumn id="1" xr3:uid="{00000000-0010-0000-4800-000001000000}" name="Revenues" totalsRowLabel="Total" dataDxfId="385" totalsRowDxfId="386"/>
    <tableColumn id="2" xr3:uid="{00000000-0010-0000-4800-000002000000}" name="Budget 10/11" totalsRowFunction="sum" dataDxfId="383" totalsRowDxfId="384"/>
    <tableColumn id="3" xr3:uid="{00000000-0010-0000-4800-000003000000}" name="Actual 10/11" totalsRowFunction="sum" dataDxfId="381" totalsRowDxfId="382"/>
    <tableColumn id="4" xr3:uid="{00000000-0010-0000-4800-000004000000}" name="Budget 11/12" totalsRowFunction="sum" dataDxfId="379" totalsRowDxfId="380"/>
    <tableColumn id="5" xr3:uid="{00000000-0010-0000-4800-000005000000}" name="Actual 11/12" totalsRowFunction="sum" dataDxfId="377" totalsRowDxfId="378"/>
    <tableColumn id="6" xr3:uid="{00000000-0010-0000-4800-000006000000}" name="Budget 12/13" totalsRowFunction="sum" dataDxfId="375" totalsRowDxfId="376"/>
    <tableColumn id="7" xr3:uid="{00000000-0010-0000-4800-000007000000}" name="Actual 12/13" totalsRowFunction="sum" dataDxfId="373" totalsRowDxfId="374"/>
    <tableColumn id="8" xr3:uid="{00000000-0010-0000-4800-000008000000}" name="Budget 13/14" totalsRowFunction="sum" dataDxfId="371" totalsRowDxfId="372"/>
    <tableColumn id="9" xr3:uid="{00000000-0010-0000-4800-000009000000}" name="Actual 13/14" totalsRowFunction="sum" dataDxfId="369" totalsRowDxfId="370"/>
    <tableColumn id="10" xr3:uid="{00000000-0010-0000-4800-00000A000000}" name="Budget 14/15" totalsRowFunction="sum" dataDxfId="367" totalsRowDxfId="368"/>
    <tableColumn id="11" xr3:uid="{00000000-0010-0000-4800-00000B000000}" name="Actual 14/15" totalsRowFunction="sum" dataDxfId="365" totalsRowDxfId="366"/>
    <tableColumn id="12" xr3:uid="{00000000-0010-0000-4800-00000C000000}" name="Budget 15/16" totalsRowFunction="sum" dataDxfId="363" totalsRowDxfId="364"/>
    <tableColumn id="13" xr3:uid="{00000000-0010-0000-4800-00000D000000}" name="Actual 15/16" totalsRowFunction="sum" dataDxfId="361" totalsRowDxfId="362"/>
    <tableColumn id="14" xr3:uid="{00000000-0010-0000-4800-00000E000000}" name="Budget 16/17" totalsRowFunction="sum" dataDxfId="359" totalsRowDxfId="360"/>
    <tableColumn id="15" xr3:uid="{00000000-0010-0000-4800-00000F000000}" name="Actual 16/17" dataDxfId="357" totalsRowDxfId="358"/>
    <tableColumn id="16" xr3:uid="{00000000-0010-0000-4800-000010000000}" name="Budget 17/18" dataDxfId="355" totalsRowDxfId="356"/>
    <tableColumn id="17" xr3:uid="{00000000-0010-0000-4800-000011000000}" name="Actual 17/18" dataDxfId="354"/>
    <tableColumn id="18" xr3:uid="{00000000-0010-0000-4800-000012000000}" name="Budget 18/19" dataDxfId="353"/>
    <tableColumn id="23" xr3:uid="{00000000-0010-0000-4800-000017000000}" name="Actual 18/19" dataDxfId="352"/>
    <tableColumn id="19" xr3:uid="{00000000-0010-0000-4800-000013000000}" name="Budget 19/20" dataDxfId="351"/>
    <tableColumn id="20" xr3:uid="{00000000-0010-0000-4800-000014000000}" name="Budget 20/21" dataDxfId="350"/>
  </tableColumns>
  <tableStyleInfo name="Feds Budget" showFirstColumn="0" showLastColumn="0" showRowStripes="0" showColumnStripes="1"/>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49000000}" name="VPOFExpenses" displayName="VPOFExpenses" ref="B8:V30" totalsRowCount="1" headerRowDxfId="349" dataDxfId="348" dataCellStyle="Currency">
  <sortState xmlns:xlrd2="http://schemas.microsoft.com/office/spreadsheetml/2017/richdata2" ref="A9:O31">
    <sortCondition ref="A9:A31"/>
  </sortState>
  <tableColumns count="21">
    <tableColumn id="1" xr3:uid="{00000000-0010-0000-4900-000001000000}" name="Expenses" totalsRowLabel="Total" dataDxfId="346" totalsRowDxfId="347"/>
    <tableColumn id="2" xr3:uid="{00000000-0010-0000-4900-000002000000}" name="Budget 10/11" totalsRowFunction="sum" dataDxfId="344" totalsRowDxfId="345" dataCellStyle="Currency"/>
    <tableColumn id="3" xr3:uid="{00000000-0010-0000-4900-000003000000}" name="Actual 10/11" totalsRowFunction="sum" dataDxfId="342" totalsRowDxfId="343" dataCellStyle="Currency"/>
    <tableColumn id="4" xr3:uid="{00000000-0010-0000-4900-000004000000}" name="Budget 11/12" totalsRowFunction="sum" dataDxfId="340" totalsRowDxfId="341" dataCellStyle="Currency"/>
    <tableColumn id="5" xr3:uid="{00000000-0010-0000-4900-000005000000}" name="Actual 11/12" totalsRowFunction="sum" dataDxfId="338" totalsRowDxfId="339" dataCellStyle="Currency"/>
    <tableColumn id="6" xr3:uid="{00000000-0010-0000-4900-000006000000}" name="Budget 12/13" totalsRowFunction="sum" dataDxfId="336" totalsRowDxfId="337" dataCellStyle="Currency"/>
    <tableColumn id="7" xr3:uid="{00000000-0010-0000-4900-000007000000}" name="Actual 12/13" totalsRowFunction="sum" dataDxfId="334" totalsRowDxfId="335" dataCellStyle="Currency"/>
    <tableColumn id="8" xr3:uid="{00000000-0010-0000-4900-000008000000}" name="Budget 13/14" totalsRowFunction="sum" dataDxfId="332" totalsRowDxfId="333" dataCellStyle="Currency"/>
    <tableColumn id="9" xr3:uid="{00000000-0010-0000-4900-000009000000}" name="Actual 13/14" totalsRowFunction="sum" dataDxfId="330" totalsRowDxfId="331" dataCellStyle="Currency"/>
    <tableColumn id="10" xr3:uid="{00000000-0010-0000-4900-00000A000000}" name="Budget 14/15" totalsRowFunction="sum" dataDxfId="328" totalsRowDxfId="329" dataCellStyle="Currency"/>
    <tableColumn id="11" xr3:uid="{00000000-0010-0000-4900-00000B000000}" name="Actual 14/15" totalsRowFunction="sum" dataDxfId="326" totalsRowDxfId="327" dataCellStyle="Currency"/>
    <tableColumn id="12" xr3:uid="{00000000-0010-0000-4900-00000C000000}" name="Budget 15/16" totalsRowFunction="sum" dataDxfId="324" totalsRowDxfId="325" dataCellStyle="Currency"/>
    <tableColumn id="13" xr3:uid="{00000000-0010-0000-4900-00000D000000}" name="Actual 15/16" totalsRowFunction="sum" dataDxfId="322" totalsRowDxfId="323" dataCellStyle="Currency"/>
    <tableColumn id="14" xr3:uid="{00000000-0010-0000-4900-00000E000000}" name="Budget 16/17" totalsRowFunction="sum" dataDxfId="320" totalsRowDxfId="321" dataCellStyle="Currency"/>
    <tableColumn id="15" xr3:uid="{00000000-0010-0000-4900-00000F000000}" name="Actual 16/17" totalsRowFunction="sum" dataDxfId="318" totalsRowDxfId="319" dataCellStyle="Currency"/>
    <tableColumn id="16" xr3:uid="{00000000-0010-0000-4900-000010000000}" name="Budget 17/18" totalsRowFunction="sum" dataDxfId="316" totalsRowDxfId="317" dataCellStyle="Currency"/>
    <tableColumn id="17" xr3:uid="{00000000-0010-0000-4900-000011000000}" name="Actual 17/18" totalsRowFunction="custom" dataDxfId="314" totalsRowDxfId="315" dataCellStyle="Currency">
      <totalsRowFormula>SUM(VPOFExpenses[Actual 17/18])</totalsRowFormula>
    </tableColumn>
    <tableColumn id="18" xr3:uid="{00000000-0010-0000-4900-000012000000}" name="Budget 18/19" totalsRowFunction="sum" dataDxfId="312" totalsRowDxfId="313" dataCellStyle="Currency"/>
    <tableColumn id="21" xr3:uid="{00000000-0010-0000-4900-000015000000}" name="Actual 18/19" totalsRowFunction="sum" dataDxfId="310" totalsRowDxfId="311" dataCellStyle="Currency"/>
    <tableColumn id="19" xr3:uid="{00000000-0010-0000-4900-000013000000}" name="Budget 19/20" totalsRowFunction="sum" dataDxfId="308" totalsRowDxfId="309" dataCellStyle="Currency"/>
    <tableColumn id="20" xr3:uid="{00000000-0010-0000-4900-000014000000}" name="Budget 20/21" totalsRowDxfId="307" dataCellStyle="Currency"/>
  </tableColumns>
  <tableStyleInfo name="Feds Budget" showFirstColumn="0" showLastColumn="0" showRowStripes="0" showColumnStripes="1"/>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4A000000}" name="DirectorofCommercialOpsRevenues" displayName="DirectorofCommercialOpsRevenues" ref="B4:L6" totalsRowCount="1" headerRowDxfId="306" dataDxfId="305" headerRowCellStyle="Normal 3" dataCellStyle="Currency 2 2">
  <tableColumns count="11">
    <tableColumn id="1" xr3:uid="{00000000-0010-0000-4A00-000001000000}" name="Revenues" totalsRowLabel="Total" dataDxfId="303" totalsRowDxfId="304" dataCellStyle="Normal 3"/>
    <tableColumn id="6" xr3:uid="{00000000-0010-0000-4A00-000006000000}" name="Budget 15/16" totalsRowFunction="sum" dataDxfId="301" totalsRowDxfId="302" dataCellStyle="Currency 2 2"/>
    <tableColumn id="7" xr3:uid="{00000000-0010-0000-4A00-000007000000}" name="Actual 15/16" totalsRowFunction="sum" dataDxfId="299" totalsRowDxfId="300" dataCellStyle="Currency 2 2"/>
    <tableColumn id="8" xr3:uid="{00000000-0010-0000-4A00-000008000000}" name="Budget 16/17" totalsRowFunction="sum" dataDxfId="297" totalsRowDxfId="298" dataCellStyle="Currency 2 2"/>
    <tableColumn id="2" xr3:uid="{00000000-0010-0000-4A00-000002000000}" name="Actual 16/17" dataDxfId="295" totalsRowDxfId="296" dataCellStyle="Currency 2 2"/>
    <tableColumn id="3" xr3:uid="{00000000-0010-0000-4A00-000003000000}" name="Budget 17/18" dataDxfId="293" totalsRowDxfId="294" dataCellStyle="Currency 2 2"/>
    <tableColumn id="4" xr3:uid="{00000000-0010-0000-4A00-000004000000}" name="Actual 17/18" dataDxfId="292" dataCellStyle="Currency 2 2"/>
    <tableColumn id="5" xr3:uid="{00000000-0010-0000-4A00-000005000000}" name="Budget 18/19" dataDxfId="291" dataCellStyle="Currency 2 2"/>
    <tableColumn id="12" xr3:uid="{00000000-0010-0000-4A00-00000C000000}" name="Actual 18/19" dataDxfId="290" dataCellStyle="Currency 2 2"/>
    <tableColumn id="9" xr3:uid="{00000000-0010-0000-4A00-000009000000}" name="Budget 19/20" totalsRowFunction="custom" dataDxfId="289" dataCellStyle="Currency 2 2">
      <calculatedColumnFormula>K19*0.3</calculatedColumnFormula>
      <totalsRowFormula>DirectorofCommercialOpsRevenues[Budget 19/20]</totalsRowFormula>
    </tableColumn>
    <tableColumn id="10" xr3:uid="{00000000-0010-0000-4A00-00000A000000}" name="Budget 20/21" dataDxfId="288" dataCellStyle="Currency 2 2"/>
  </tableColumns>
  <tableStyleInfo name="Feds Budget" showFirstColumn="0" showLastColumn="0" showRowStripes="0" showColumnStripes="1"/>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4B000000}" name="DirectorofCommercialOpsExpenses" displayName="DirectorofCommercialOpsExpenses" ref="B8:G19" totalsRowCount="1" headerRowDxfId="287" dataDxfId="286" headerRowCellStyle="Normal 3" dataCellStyle="Currency 4">
  <tableColumns count="6">
    <tableColumn id="1" xr3:uid="{00000000-0010-0000-4B00-000001000000}" name="Expenses" totalsRowLabel="Total" dataDxfId="284" totalsRowDxfId="285" dataCellStyle="Normal 3"/>
    <tableColumn id="6" xr3:uid="{00000000-0010-0000-4B00-000006000000}" name="Budget 15/16" totalsRowFunction="sum" dataDxfId="282" totalsRowDxfId="283" dataCellStyle="Currency 4"/>
    <tableColumn id="7" xr3:uid="{00000000-0010-0000-4B00-000007000000}" name="Actual 15/16" totalsRowFunction="sum" dataDxfId="280" totalsRowDxfId="281" dataCellStyle="Currency 4"/>
    <tableColumn id="8" xr3:uid="{00000000-0010-0000-4B00-000008000000}" name="Budget 16/17" totalsRowFunction="sum" dataDxfId="278" totalsRowDxfId="279" dataCellStyle="Currency 4"/>
    <tableColumn id="2" xr3:uid="{00000000-0010-0000-4B00-000002000000}" name="Actual 16/17" totalsRowFunction="sum" dataDxfId="276" totalsRowDxfId="277" dataCellStyle="Currency 4"/>
    <tableColumn id="3" xr3:uid="{00000000-0010-0000-4B00-000003000000}" name="Budget 17/18" totalsRowFunction="sum" dataDxfId="274" totalsRowDxfId="275" dataCellStyle="Currency 4"/>
  </tableColumns>
  <tableStyleInfo name="Feds Budget" showFirstColumn="0" showLastColumn="0" showRowStripes="0" showColumnStripes="1"/>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4C000000}" name="MarketingGeneralRevenues" displayName="MarketingGeneralRevenues" ref="B3:P7" totalsRowCount="1" headerRowDxfId="273" headerRowCellStyle="Normal 3">
  <tableColumns count="15">
    <tableColumn id="1" xr3:uid="{00000000-0010-0000-4C00-000001000000}" name="Revenues" totalsRowLabel="Total" totalsRowDxfId="272" dataCellStyle="Normal 22"/>
    <tableColumn id="3" xr3:uid="{00000000-0010-0000-4C00-000003000000}" name="Budget 12/13" totalsRowFunction="sum" dataDxfId="270" totalsRowDxfId="271" dataCellStyle="Normal 22"/>
    <tableColumn id="4" xr3:uid="{00000000-0010-0000-4C00-000004000000}" name="Budget 13/14" totalsRowFunction="sum" dataDxfId="268" totalsRowDxfId="269" dataCellStyle="Normal 22"/>
    <tableColumn id="5" xr3:uid="{00000000-0010-0000-4C00-000005000000}" name="Budget 14/15" totalsRowFunction="sum" dataDxfId="266" totalsRowDxfId="267" dataCellStyle="Normal 22"/>
    <tableColumn id="6" xr3:uid="{00000000-0010-0000-4C00-000006000000}" name="Actual 14/15" totalsRowFunction="sum" dataDxfId="264" totalsRowDxfId="265" dataCellStyle="Normal 22"/>
    <tableColumn id="7" xr3:uid="{00000000-0010-0000-4C00-000007000000}" name="Budget 15/16" totalsRowFunction="sum" dataDxfId="262" totalsRowDxfId="263" dataCellStyle="Normal 22"/>
    <tableColumn id="2" xr3:uid="{00000000-0010-0000-4C00-000002000000}" name="Actual 15/16" totalsRowFunction="sum" dataDxfId="260" totalsRowDxfId="261" dataCellStyle="Normal 22"/>
    <tableColumn id="8" xr3:uid="{00000000-0010-0000-4C00-000008000000}" name="Budget 16/17" totalsRowFunction="sum" dataDxfId="258" totalsRowDxfId="259" dataCellStyle="Normal 22"/>
    <tableColumn id="9" xr3:uid="{00000000-0010-0000-4C00-000009000000}" name="Actual 16/17" totalsRowFunction="sum" dataDxfId="256" totalsRowDxfId="257" dataCellStyle="Normal 22"/>
    <tableColumn id="10" xr3:uid="{00000000-0010-0000-4C00-00000A000000}" name="Budget 17/18" totalsRowFunction="sum" dataDxfId="254" totalsRowDxfId="255" dataCellStyle="Normal 22"/>
    <tableColumn id="11" xr3:uid="{00000000-0010-0000-4C00-00000B000000}" name="Actual 17/18" totalsRowFunction="custom" dataDxfId="252" totalsRowDxfId="253" dataCellStyle="Normal 22">
      <totalsRowFormula>SUM(L4:L6)</totalsRowFormula>
    </tableColumn>
    <tableColumn id="12" xr3:uid="{00000000-0010-0000-4C00-00000C000000}" name="Budget 18/19" totalsRowFunction="sum" dataDxfId="250" totalsRowDxfId="251" dataCellStyle="Normal 22"/>
    <tableColumn id="15" xr3:uid="{00000000-0010-0000-4C00-00000F000000}" name="Actuals 18/19" totalsRowFunction="sum" dataDxfId="248" totalsRowDxfId="249" dataCellStyle="Currency 2 2 2"/>
    <tableColumn id="13" xr3:uid="{00000000-0010-0000-4C00-00000D000000}" name="Bugdet 19/20" totalsRowFunction="custom" dataDxfId="246" totalsRowDxfId="247" dataCellStyle="Normal 22">
      <totalsRowFormula>O4+O5+O6</totalsRowFormula>
    </tableColumn>
    <tableColumn id="14" xr3:uid="{00000000-0010-0000-4C00-00000E000000}" name="Bugdet 19/21" dataDxfId="244" totalsRowDxfId="245" dataCellStyle="Currency 16"/>
  </tableColumns>
  <tableStyleInfo name="Feds Budget" showFirstColumn="0" showLastColumn="0" showRowStripes="0" showColumnStripes="1"/>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4D000000}" name="MarketingGeneralExpenses" displayName="MarketingGeneralExpenses" ref="B9:O30" totalsRowCount="1" headerRowDxfId="243" headerRowCellStyle="Normal 3">
  <tableColumns count="14">
    <tableColumn id="1" xr3:uid="{00000000-0010-0000-4D00-000001000000}" name="Expenses" totalsRowLabel="Total" totalsRowDxfId="242" dataCellStyle="Normal 22"/>
    <tableColumn id="2" xr3:uid="{00000000-0010-0000-4D00-000002000000}" name="Budget 12/13" totalsRowFunction="sum" dataDxfId="240" totalsRowDxfId="241" dataCellStyle="Normal 22"/>
    <tableColumn id="3" xr3:uid="{00000000-0010-0000-4D00-000003000000}" name="Budget 13/14" totalsRowFunction="sum" dataDxfId="238" totalsRowDxfId="239" dataCellStyle="Normal 22"/>
    <tableColumn id="4" xr3:uid="{00000000-0010-0000-4D00-000004000000}" name="Budget 14/15" totalsRowFunction="sum" dataDxfId="236" totalsRowDxfId="237" dataCellStyle="Normal 22"/>
    <tableColumn id="5" xr3:uid="{00000000-0010-0000-4D00-000005000000}" name="Actual 14/15" totalsRowFunction="sum" dataDxfId="234" totalsRowDxfId="235" dataCellStyle="Normal 22"/>
    <tableColumn id="6" xr3:uid="{00000000-0010-0000-4D00-000006000000}" name="Budget 15/16" totalsRowFunction="sum" dataDxfId="232" totalsRowDxfId="233" dataCellStyle="Normal 22"/>
    <tableColumn id="7" xr3:uid="{00000000-0010-0000-4D00-000007000000}" name="Actual 15/16" totalsRowFunction="sum" dataDxfId="230" totalsRowDxfId="231" dataCellStyle="Normal 22"/>
    <tableColumn id="8" xr3:uid="{00000000-0010-0000-4D00-000008000000}" name="Budget 16/17" totalsRowFunction="sum" dataDxfId="228" totalsRowDxfId="229" dataCellStyle="Normal 22"/>
    <tableColumn id="9" xr3:uid="{00000000-0010-0000-4D00-000009000000}" name="Actual 16/17" totalsRowFunction="sum" dataDxfId="226" totalsRowDxfId="227" dataCellStyle="Normal 22"/>
    <tableColumn id="10" xr3:uid="{00000000-0010-0000-4D00-00000A000000}" name="Budget 17/18" totalsRowFunction="sum" dataDxfId="224" totalsRowDxfId="225" dataCellStyle="Normal 22"/>
    <tableColumn id="11" xr3:uid="{00000000-0010-0000-4D00-00000B000000}" name="Actual 17/18" totalsRowFunction="sum" dataDxfId="222" totalsRowDxfId="223" dataCellStyle="Normal 22"/>
    <tableColumn id="12" xr3:uid="{00000000-0010-0000-4D00-00000C000000}" name="Budget 18/19" totalsRowFunction="sum" dataDxfId="220" totalsRowDxfId="221" dataCellStyle="Normal 22"/>
    <tableColumn id="14" xr3:uid="{00000000-0010-0000-4D00-00000E000000}" name="Actual 18/19" totalsRowFunction="sum" dataDxfId="218" totalsRowDxfId="219" dataCellStyle="Currency 16"/>
    <tableColumn id="13" xr3:uid="{00000000-0010-0000-4D00-00000D000000}" name="Budget 19/20" totalsRowFunction="custom" dataDxfId="216" totalsRowDxfId="217" dataCellStyle="Normal 22">
      <totalsRowFormula>SUM(O10:O29)</totalsRowFormula>
    </tableColumn>
  </tableColumns>
  <tableStyleInfo name="Feds Budget" showFirstColumn="0" showLastColumn="0" showRowStripes="0" showColumnStripes="1"/>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4E000000}" name="CommunicationsRevenues16" displayName="CommunicationsRevenues16" ref="B3:Q5" totalsRowCount="1" headerRowDxfId="215" headerRowCellStyle="Normal 3">
  <tableColumns count="16">
    <tableColumn id="1" xr3:uid="{00000000-0010-0000-4E00-000001000000}" name="Revenues" totalsRowLabel="Total" totalsRowDxfId="214" dataCellStyle="Normal 22"/>
    <tableColumn id="9" xr3:uid="{00000000-0010-0000-4E00-000009000000}" name="Budget 12/13" totalsRowFunction="sum" dataDxfId="212" totalsRowDxfId="213" dataCellStyle="Normal 22"/>
    <tableColumn id="6" xr3:uid="{00000000-0010-0000-4E00-000006000000}" name="Budget 13/14" totalsRowFunction="sum" dataDxfId="210" totalsRowDxfId="211" dataCellStyle="Normal 22"/>
    <tableColumn id="5" xr3:uid="{00000000-0010-0000-4E00-000005000000}" name="Actual 13/14" totalsRowFunction="sum" dataDxfId="208" totalsRowDxfId="209" dataCellStyle="Normal 22"/>
    <tableColumn id="4" xr3:uid="{00000000-0010-0000-4E00-000004000000}" name="Budget 14/15" totalsRowFunction="sum" dataDxfId="206" totalsRowDxfId="207" dataCellStyle="Normal 22"/>
    <tableColumn id="3" xr3:uid="{00000000-0010-0000-4E00-000003000000}" name="Actual 14/15" totalsRowFunction="sum" dataDxfId="204" totalsRowDxfId="205" dataCellStyle="Normal 22"/>
    <tableColumn id="7" xr3:uid="{00000000-0010-0000-4E00-000007000000}" name="Budget 15/16" totalsRowFunction="sum" dataDxfId="202" totalsRowDxfId="203" dataCellStyle="Normal 22"/>
    <tableColumn id="8" xr3:uid="{00000000-0010-0000-4E00-000008000000}" name="Actual 15/16" totalsRowFunction="sum" dataDxfId="200" totalsRowDxfId="201" dataCellStyle="Normal 22"/>
    <tableColumn id="2" xr3:uid="{00000000-0010-0000-4E00-000002000000}" name="Budget 16/17" totalsRowFunction="custom" dataDxfId="198" totalsRowDxfId="199" dataCellStyle="Normal 22">
      <totalsRowFormula>SUM(CommunicationsRevenues16[Budget 16/17])</totalsRowFormula>
    </tableColumn>
    <tableColumn id="10" xr3:uid="{00000000-0010-0000-4E00-00000A000000}" name="Actual 16/17" totalsRowFunction="custom" totalsRowDxfId="197" dataCellStyle="Normal 22">
      <totalsRowFormula>SUM(CommunicationsRevenues16[Actual 16/17])</totalsRowFormula>
    </tableColumn>
    <tableColumn id="11" xr3:uid="{00000000-0010-0000-4E00-00000B000000}" name="Budget 17/18" totalsRowFunction="custom" totalsRowDxfId="196" dataCellStyle="Normal 22">
      <totalsRowFormula>SUM(CommunicationsRevenues16[Budget 17/18])</totalsRowFormula>
    </tableColumn>
    <tableColumn id="12" xr3:uid="{00000000-0010-0000-4E00-00000C000000}" name="Actual 17/18" totalsRowFunction="custom" totalsRowDxfId="195" dataCellStyle="Normal 22">
      <totalsRowFormula>SUM(CommunicationsRevenues16[Actual 17/18])</totalsRowFormula>
    </tableColumn>
    <tableColumn id="13" xr3:uid="{00000000-0010-0000-4E00-00000D000000}" name="Budget 18/19" totalsRowFunction="custom" totalsRowDxfId="194" dataCellStyle="Currency 16">
      <totalsRowFormula>SUM(CommunicationsRevenues16[Budget 18/19])</totalsRowFormula>
    </tableColumn>
    <tableColumn id="16" xr3:uid="{00000000-0010-0000-4E00-000010000000}" name="Actual 18/19" totalsRowFunction="custom" dataDxfId="192" totalsRowDxfId="193" dataCellStyle="Currency 16">
      <totalsRowFormula>SUM(CommunicationsRevenues16[Actual 18/19])</totalsRowFormula>
    </tableColumn>
    <tableColumn id="14" xr3:uid="{00000000-0010-0000-4E00-00000E000000}" name="Budget 19/20" totalsRowFunction="custom" totalsRowDxfId="191" dataCellStyle="Normal 22">
      <totalsRowFormula>SUM(CommunicationsRevenues16[Budget 19/20])</totalsRowFormula>
    </tableColumn>
    <tableColumn id="15" xr3:uid="{00000000-0010-0000-4E00-00000F000000}" name="Budget 19/21" totalsRowDxfId="190" dataCellStyle="Normal 22"/>
  </tableColumns>
  <tableStyleInfo name="Feds Budget" showFirstColumn="0" showLastColumn="0" showRowStripes="0" showColumnStripes="1"/>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StudentGovernmentExpenses" displayName="StudentGovernmentExpenses" ref="B9:Q34" totalsRowCount="1" headerRowDxfId="2642" dataDxfId="2641" totalsRowBorderDxfId="2640" dataCellStyle="Currency 2">
  <tableColumns count="16">
    <tableColumn id="1" xr3:uid="{00000000-0010-0000-0700-000001000000}" name="Expenses" totalsRowLabel="Total" dataDxfId="2638" totalsRowDxfId="2639"/>
    <tableColumn id="2" xr3:uid="{00000000-0010-0000-0700-000002000000}" name="Budget 10/11" totalsRowFunction="sum" dataDxfId="2636" totalsRowDxfId="2637" dataCellStyle="Currency 2"/>
    <tableColumn id="3" xr3:uid="{00000000-0010-0000-0700-000003000000}" name="Actual 10/11" totalsRowFunction="sum" dataDxfId="2634" totalsRowDxfId="2635" dataCellStyle="Currency 2"/>
    <tableColumn id="4" xr3:uid="{00000000-0010-0000-0700-000004000000}" name="Budget 11/12" totalsRowFunction="sum" dataDxfId="2632" totalsRowDxfId="2633" dataCellStyle="Currency 2"/>
    <tableColumn id="5" xr3:uid="{00000000-0010-0000-0700-000005000000}" name="Actual 11/12" totalsRowFunction="sum" dataDxfId="2630" totalsRowDxfId="2631" dataCellStyle="Currency 2"/>
    <tableColumn id="6" xr3:uid="{00000000-0010-0000-0700-000006000000}" name="Budget 12/13" totalsRowFunction="sum" dataDxfId="2628" totalsRowDxfId="2629" dataCellStyle="Currency 2"/>
    <tableColumn id="7" xr3:uid="{00000000-0010-0000-0700-000007000000}" name="Actual 12/13" totalsRowFunction="sum" dataDxfId="2626" totalsRowDxfId="2627" dataCellStyle="Currency 2"/>
    <tableColumn id="8" xr3:uid="{00000000-0010-0000-0700-000008000000}" name="Budget 13/14" totalsRowFunction="sum" dataDxfId="2624" totalsRowDxfId="2625" dataCellStyle="Currency 2"/>
    <tableColumn id="9" xr3:uid="{00000000-0010-0000-0700-000009000000}" name="Actual 13/14" totalsRowFunction="sum" dataDxfId="2622" totalsRowDxfId="2623" dataCellStyle="Currency 2"/>
    <tableColumn id="10" xr3:uid="{00000000-0010-0000-0700-00000A000000}" name="Budget 14/15" totalsRowFunction="sum" dataDxfId="2620" totalsRowDxfId="2621" dataCellStyle="Currency 2"/>
    <tableColumn id="11" xr3:uid="{00000000-0010-0000-0700-00000B000000}" name="Actual 14/15" totalsRowFunction="sum" dataDxfId="2618" totalsRowDxfId="2619" dataCellStyle="Currency 2"/>
    <tableColumn id="12" xr3:uid="{00000000-0010-0000-0700-00000C000000}" name="Budget 15/16" totalsRowFunction="sum" dataDxfId="2616" totalsRowDxfId="2617" dataCellStyle="Currency 2"/>
    <tableColumn id="13" xr3:uid="{00000000-0010-0000-0700-00000D000000}" name="Actual 15/16" totalsRowFunction="sum" dataDxfId="2614" totalsRowDxfId="2615" dataCellStyle="Currency 2"/>
    <tableColumn id="14" xr3:uid="{00000000-0010-0000-0700-00000E000000}" name="Budget 16/17" totalsRowFunction="sum" dataDxfId="2612" totalsRowDxfId="2613" dataCellStyle="Currency 2"/>
    <tableColumn id="15" xr3:uid="{00000000-0010-0000-0700-00000F000000}" name="Actual 16/17" totalsRowFunction="custom" dataDxfId="2610" totalsRowDxfId="2611" dataCellStyle="Currency 2">
      <totalsRowFormula>SUM(StudentGovernmentExpenses[Actual 16/17])</totalsRowFormula>
    </tableColumn>
    <tableColumn id="16" xr3:uid="{00000000-0010-0000-0700-000010000000}" name="Budget 17/18" totalsRowFunction="sum" dataDxfId="2608" totalsRowDxfId="2609" dataCellStyle="Currency 2"/>
  </tableColumns>
  <tableStyleInfo name="Feds Budget" showFirstColumn="0" showLastColumn="0" showRowStripes="0" showColumnStripes="1"/>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4F000000}" name="CommunicationsExpenses17" displayName="CommunicationsExpenses17" ref="B7:Q25" totalsRowCount="1" headerRowDxfId="189" headerRowCellStyle="Normal 3">
  <tableColumns count="16">
    <tableColumn id="1" xr3:uid="{00000000-0010-0000-4F00-000001000000}" name="Expenses" totalsRowLabel="Total" totalsRowDxfId="188" dataCellStyle="Normal 22"/>
    <tableColumn id="10" xr3:uid="{00000000-0010-0000-4F00-00000A000000}" name="Budget 12/13" totalsRowFunction="sum" dataDxfId="186" totalsRowDxfId="187" dataCellStyle="Normal 22"/>
    <tableColumn id="9" xr3:uid="{00000000-0010-0000-4F00-000009000000}" name="Budget 13/14" totalsRowFunction="sum" dataDxfId="184" totalsRowDxfId="185" dataCellStyle="Normal 22"/>
    <tableColumn id="7" xr3:uid="{00000000-0010-0000-4F00-000007000000}" name="Actual 13/14" totalsRowFunction="sum" dataDxfId="182" totalsRowDxfId="183" dataCellStyle="Normal 22"/>
    <tableColumn id="5" xr3:uid="{00000000-0010-0000-4F00-000005000000}" name="Budget 14/15" totalsRowFunction="sum" dataDxfId="180" totalsRowDxfId="181" dataCellStyle="Normal 22"/>
    <tableColumn id="2" xr3:uid="{00000000-0010-0000-4F00-000002000000}" name="Actual 14/15" totalsRowFunction="custom" dataDxfId="178" totalsRowDxfId="179" dataCellStyle="Normal 22">
      <totalsRowFormula>SUBTOTAL(109,CommunicationsExpenses17[Budget 16/17])</totalsRowFormula>
    </tableColumn>
    <tableColumn id="6" xr3:uid="{00000000-0010-0000-4F00-000006000000}" name="Budget 15/16" totalsRowFunction="sum" dataDxfId="176" totalsRowDxfId="177" dataCellStyle="Normal 22"/>
    <tableColumn id="8" xr3:uid="{00000000-0010-0000-4F00-000008000000}" name="Actual 15/16" totalsRowFunction="sum" dataDxfId="174" totalsRowDxfId="175" dataCellStyle="Normal 22"/>
    <tableColumn id="3" xr3:uid="{00000000-0010-0000-4F00-000003000000}" name="Budget 16/17" totalsRowFunction="custom" dataDxfId="172" totalsRowDxfId="173" dataCellStyle="Normal 22">
      <totalsRowFormula>SUM(CommunicationsExpenses17[Budget 16/17])</totalsRowFormula>
    </tableColumn>
    <tableColumn id="4" xr3:uid="{00000000-0010-0000-4F00-000004000000}" name="Actual 16/17" totalsRowFunction="custom" totalsRowDxfId="171" dataCellStyle="Normal 22">
      <totalsRowFormula>SUM(CommunicationsExpenses17[Actual 16/17])</totalsRowFormula>
    </tableColumn>
    <tableColumn id="11" xr3:uid="{00000000-0010-0000-4F00-00000B000000}" name="Budget 17/18" totalsRowFunction="custom" totalsRowDxfId="170" dataCellStyle="Normal 22">
      <totalsRowFormula>SUM(CommunicationsExpenses17[Budget 17/18])</totalsRowFormula>
    </tableColumn>
    <tableColumn id="12" xr3:uid="{00000000-0010-0000-4F00-00000C000000}" name="Actual 17/18" totalsRowFunction="custom" dataDxfId="168" totalsRowDxfId="169" dataCellStyle="Currency 16">
      <totalsRowFormula>SUM(M8:M24)</totalsRowFormula>
    </tableColumn>
    <tableColumn id="13" xr3:uid="{00000000-0010-0000-4F00-00000D000000}" name="Budget 18/19" totalsRowFunction="custom" totalsRowDxfId="167" dataCellStyle="Normal 22">
      <totalsRowFormula>SUM(CommunicationsExpenses17[Budget 18/19])</totalsRowFormula>
    </tableColumn>
    <tableColumn id="16" xr3:uid="{00000000-0010-0000-4F00-000010000000}" name="Actual 18/19" totalsRowFunction="custom" dataDxfId="165" totalsRowDxfId="166" dataCellStyle="Currency 16">
      <totalsRowFormula>SUM(CommunicationsExpenses17[Actual 18/19])</totalsRowFormula>
    </tableColumn>
    <tableColumn id="14" xr3:uid="{00000000-0010-0000-4F00-00000E000000}" name="Budget 19/20" totalsRowFunction="custom" dataDxfId="163" totalsRowDxfId="164" dataCellStyle="Normal 22">
      <totalsRowFormula>SUM(P8:P24)</totalsRowFormula>
    </tableColumn>
    <tableColumn id="15" xr3:uid="{00000000-0010-0000-4F00-00000F000000}" name="Budget 19/21" dataDxfId="161" totalsRowDxfId="162" dataCellStyle="Currency 16"/>
  </tableColumns>
  <tableStyleInfo name="Feds Budget" showFirstColumn="0" showLastColumn="0" showRowStripes="0" showColumnStripes="1"/>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50000000}" name="CommunicationsRevenues100" displayName="CommunicationsRevenues100" ref="B3:P5" totalsRowCount="1" headerRowDxfId="160" headerRowCellStyle="Normal 3">
  <tableColumns count="15">
    <tableColumn id="1" xr3:uid="{00000000-0010-0000-5000-000001000000}" name="Revenues" totalsRowLabel="Total" totalsRowDxfId="159" dataCellStyle="Normal 22"/>
    <tableColumn id="9" xr3:uid="{00000000-0010-0000-5000-000009000000}" name="Budget 12/13" totalsRowFunction="sum" dataDxfId="157" totalsRowDxfId="158" dataCellStyle="Normal 22"/>
    <tableColumn id="6" xr3:uid="{00000000-0010-0000-5000-000006000000}" name="Budget 13/14" totalsRowFunction="sum" dataDxfId="155" totalsRowDxfId="156" dataCellStyle="Normal 22"/>
    <tableColumn id="5" xr3:uid="{00000000-0010-0000-5000-000005000000}" name="Budget 14/15" totalsRowFunction="sum" dataDxfId="153" totalsRowDxfId="154" dataCellStyle="Normal 22"/>
    <tableColumn id="4" xr3:uid="{00000000-0010-0000-5000-000004000000}" name="Actual 14/15" totalsRowFunction="sum" dataDxfId="151" totalsRowDxfId="152" dataCellStyle="Normal 22"/>
    <tableColumn id="3" xr3:uid="{00000000-0010-0000-5000-000003000000}" name="Budget 15/16" totalsRowFunction="sum" dataDxfId="149" totalsRowDxfId="150" dataCellStyle="Normal 22"/>
    <tableColumn id="7" xr3:uid="{00000000-0010-0000-5000-000007000000}" name="Actual 15/16" totalsRowFunction="sum" dataDxfId="147" totalsRowDxfId="148" dataCellStyle="Normal 22"/>
    <tableColumn id="2" xr3:uid="{00000000-0010-0000-5000-000002000000}" name="Budget 16/17" totalsRowFunction="sum" dataDxfId="145" totalsRowDxfId="146" dataCellStyle="Normal 22"/>
    <tableColumn id="8" xr3:uid="{00000000-0010-0000-5000-000008000000}" name="Actual 16/17" totalsRowFunction="sum" dataDxfId="143" totalsRowDxfId="144" dataCellStyle="Normal 22"/>
    <tableColumn id="10" xr3:uid="{00000000-0010-0000-5000-00000A000000}" name="Budget 17/18" totalsRowFunction="sum" dataDxfId="141" totalsRowDxfId="142" dataCellStyle="Normal 22"/>
    <tableColumn id="11" xr3:uid="{00000000-0010-0000-5000-00000B000000}" name="Actual 17/18" totalsRowFunction="sum" dataDxfId="139" totalsRowDxfId="140" dataCellStyle="Normal 22"/>
    <tableColumn id="12" xr3:uid="{00000000-0010-0000-5000-00000C000000}" name="Budget 18/19" totalsRowFunction="sum" dataDxfId="137" totalsRowDxfId="138" dataCellStyle="Normal 22"/>
    <tableColumn id="15" xr3:uid="{00000000-0010-0000-5000-00000F000000}" name="Actual 18/19" totalsRowFunction="sum" dataDxfId="135" totalsRowDxfId="136" dataCellStyle="Normal 22"/>
    <tableColumn id="13" xr3:uid="{00000000-0010-0000-5000-00000D000000}" name="Budget 19/20" totalsRowFunction="sum" dataDxfId="133" totalsRowDxfId="134" dataCellStyle="Currency 16"/>
    <tableColumn id="14" xr3:uid="{00000000-0010-0000-5000-00000E000000}" name="Budget 19/21" dataDxfId="131" totalsRowDxfId="132" dataCellStyle="Currency 16"/>
  </tableColumns>
  <tableStyleInfo name="Feds Budget" showFirstColumn="0" showLastColumn="0" showRowStripes="0" showColumnStripes="1"/>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51000000}" name="CommunicationsExpenses101" displayName="CommunicationsExpenses101" ref="B7:P16" totalsRowCount="1" headerRowDxfId="130" headerRowCellStyle="Normal 3">
  <tableColumns count="15">
    <tableColumn id="1" xr3:uid="{00000000-0010-0000-5100-000001000000}" name="Expenses" totalsRowLabel="Total" dataDxfId="128" totalsRowDxfId="129" dataCellStyle="Normal 22"/>
    <tableColumn id="10" xr3:uid="{00000000-0010-0000-5100-00000A000000}" name="Budget 12/13" totalsRowFunction="sum" dataDxfId="126" totalsRowDxfId="127" dataCellStyle="Normal 22"/>
    <tableColumn id="9" xr3:uid="{00000000-0010-0000-5100-000009000000}" name="Budget 13/14" totalsRowFunction="sum" dataDxfId="124" totalsRowDxfId="125" dataCellStyle="Normal 22"/>
    <tableColumn id="7" xr3:uid="{00000000-0010-0000-5100-000007000000}" name="Budget 14/15" totalsRowFunction="sum" dataDxfId="122" totalsRowDxfId="123" dataCellStyle="Normal 22"/>
    <tableColumn id="5" xr3:uid="{00000000-0010-0000-5100-000005000000}" name="Actual 14/15" totalsRowFunction="sum" dataDxfId="120" totalsRowDxfId="121" dataCellStyle="Normal 22"/>
    <tableColumn id="2" xr3:uid="{00000000-0010-0000-5100-000002000000}" name="Budget 15/16" totalsRowFunction="sum" dataDxfId="118" totalsRowDxfId="119" dataCellStyle="Normal 22"/>
    <tableColumn id="6" xr3:uid="{00000000-0010-0000-5100-000006000000}" name="Proposed 16/17" totalsRowFunction="sum" dataDxfId="116" totalsRowDxfId="117" dataCellStyle="Normal 22"/>
    <tableColumn id="3" xr3:uid="{00000000-0010-0000-5100-000003000000}" name="Budget 16/17" totalsRowFunction="sum" dataDxfId="114" totalsRowDxfId="115" dataCellStyle="Normal 22"/>
    <tableColumn id="4" xr3:uid="{00000000-0010-0000-5100-000004000000}" name="Actual 16/17" totalsRowFunction="sum" dataDxfId="112" totalsRowDxfId="113" dataCellStyle="Normal 22"/>
    <tableColumn id="8" xr3:uid="{00000000-0010-0000-5100-000008000000}" name="Budget 17/18" totalsRowFunction="sum" dataDxfId="110" totalsRowDxfId="111" dataCellStyle="Normal 22"/>
    <tableColumn id="11" xr3:uid="{00000000-0010-0000-5100-00000B000000}" name="Actual 17/18" totalsRowFunction="sum" dataDxfId="108" totalsRowDxfId="109" dataCellStyle="Normal 22"/>
    <tableColumn id="12" xr3:uid="{00000000-0010-0000-5100-00000C000000}" name="Budget 18/19" totalsRowFunction="sum" dataDxfId="106" totalsRowDxfId="107" dataCellStyle="Normal 22"/>
    <tableColumn id="15" xr3:uid="{00000000-0010-0000-5100-00000F000000}" name="Actual 18/19" totalsRowFunction="sum" dataDxfId="104" totalsRowDxfId="105" dataCellStyle="Currency 2 2 2"/>
    <tableColumn id="13" xr3:uid="{00000000-0010-0000-5100-00000D000000}" name="Budget 19/20" totalsRowFunction="custom" dataDxfId="102" totalsRowDxfId="103" dataCellStyle="Currency 16">
      <totalsRowFormula>SUM(CommunicationsExpenses101[Budget 19/20])</totalsRowFormula>
    </tableColumn>
    <tableColumn id="14" xr3:uid="{00000000-0010-0000-5100-00000E000000}" name="Budget 19/21" dataDxfId="100" totalsRowDxfId="101" dataCellStyle="Currency 16"/>
  </tableColumns>
  <tableStyleInfo name="Feds Budget" showFirstColumn="0" showLastColumn="0" showRowStripes="0" showColumnStripes="1"/>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52000000}" name="MarketingAdvocacyRevenues" displayName="MarketingAdvocacyRevenues" ref="B3:L7" totalsRowCount="1" headerRowDxfId="99" headerRowCellStyle="Normal 3">
  <tableColumns count="11">
    <tableColumn id="1" xr3:uid="{00000000-0010-0000-5200-000001000000}" name="Revenues" totalsRowLabel="Total" totalsRowDxfId="98"/>
    <tableColumn id="7" xr3:uid="{00000000-0010-0000-5200-000007000000}" name="Budget 15/16" totalsRowFunction="sum" dataDxfId="96" totalsRowDxfId="97" dataCellStyle="Currency 2 2"/>
    <tableColumn id="2" xr3:uid="{00000000-0010-0000-5200-000002000000}" name="Actual 15/16" totalsRowFunction="sum" dataDxfId="94" totalsRowDxfId="95" dataCellStyle="Currency 2 2"/>
    <tableColumn id="8" xr3:uid="{00000000-0010-0000-5200-000008000000}" name="Budget 16/17" totalsRowFunction="sum" dataDxfId="92" totalsRowDxfId="93" dataCellStyle="Currency 2 2"/>
    <tableColumn id="3" xr3:uid="{00000000-0010-0000-5200-000003000000}" name="Actual 16/17" totalsRowFunction="sum" dataDxfId="90" totalsRowDxfId="91" dataCellStyle="Currency 2 2"/>
    <tableColumn id="4" xr3:uid="{00000000-0010-0000-5200-000004000000}" name="Budget 17/18" totalsRowFunction="sum" totalsRowDxfId="89"/>
    <tableColumn id="5" xr3:uid="{00000000-0010-0000-5200-000005000000}" name="Actual 17/18" totalsRowFunction="sum" totalsRowDxfId="88" dataCellStyle="Normal 2"/>
    <tableColumn id="6" xr3:uid="{00000000-0010-0000-5200-000006000000}" name="Budget 18/19" totalsRowFunction="sum" totalsRowDxfId="87" dataCellStyle="Normal 2"/>
    <tableColumn id="11" xr3:uid="{00000000-0010-0000-5200-00000B000000}" name="Actual 18/19" totalsRowFunction="sum" totalsRowDxfId="86"/>
    <tableColumn id="9" xr3:uid="{00000000-0010-0000-5200-000009000000}" name="Budget 19/20" totalsRowFunction="custom" totalsRowDxfId="85" dataCellStyle="Currency">
      <totalsRowFormula>SUM(MarketingAdvocacyRevenues[Budget 19/20])</totalsRowFormula>
    </tableColumn>
    <tableColumn id="10" xr3:uid="{00000000-0010-0000-5200-00000A000000}" name="Budget 19/21" totalsRowDxfId="84" dataCellStyle="Currency"/>
  </tableColumns>
  <tableStyleInfo name="Feds Budget" showFirstColumn="0" showLastColumn="0" showRowStripes="0" showColumnStripes="1"/>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53000000}" name="MarketingAdvocacyExpenses" displayName="MarketingAdvocacyExpenses" ref="B9:L29" totalsRowCount="1" headerRowDxfId="83" headerRowCellStyle="Normal 3">
  <tableColumns count="11">
    <tableColumn id="1" xr3:uid="{00000000-0010-0000-5300-000001000000}" name="Expenses" totalsRowLabel="Total" totalsRowDxfId="82"/>
    <tableColumn id="6" xr3:uid="{00000000-0010-0000-5300-000006000000}" name="Budget 15/16" totalsRowFunction="sum" dataDxfId="80" totalsRowDxfId="81" dataCellStyle="Currency 2 2"/>
    <tableColumn id="7" xr3:uid="{00000000-0010-0000-5300-000007000000}" name="Actual 15/16" totalsRowFunction="sum" dataDxfId="78" totalsRowDxfId="79" dataCellStyle="Currency 2 2"/>
    <tableColumn id="8" xr3:uid="{00000000-0010-0000-5300-000008000000}" name="Budget 16/17" totalsRowFunction="sum" dataDxfId="76" totalsRowDxfId="77" dataCellStyle="Currency 2 2"/>
    <tableColumn id="2" xr3:uid="{00000000-0010-0000-5300-000002000000}" name="Actual 16/17" totalsRowFunction="sum" dataDxfId="74" totalsRowDxfId="75" dataCellStyle="Currency 2 2"/>
    <tableColumn id="3" xr3:uid="{00000000-0010-0000-5300-000003000000}" name="Budget 17/18" totalsRowFunction="sum" dataDxfId="72" totalsRowDxfId="73" dataCellStyle="Currency 2 2"/>
    <tableColumn id="4" xr3:uid="{00000000-0010-0000-5300-000004000000}" name="Actual 17/18" totalsRowFunction="sum" dataDxfId="70" totalsRowDxfId="71" dataCellStyle="Currency 2 2"/>
    <tableColumn id="5" xr3:uid="{00000000-0010-0000-5300-000005000000}" name="Budget 18/19" totalsRowFunction="sum" dataDxfId="68" totalsRowDxfId="69" dataCellStyle="Currency 2 2"/>
    <tableColumn id="11" xr3:uid="{00000000-0010-0000-5300-00000B000000}" name="Actual 18/19" totalsRowFunction="sum" dataDxfId="66" totalsRowDxfId="67" dataCellStyle="Currency 2 2 2"/>
    <tableColumn id="9" xr3:uid="{00000000-0010-0000-5300-000009000000}" name="Budget 19-20" totalsRowFunction="custom" dataDxfId="64" totalsRowDxfId="65" dataCellStyle="Currency 2 2">
      <totalsRowFormula>SUM(K10:K28)</totalsRowFormula>
    </tableColumn>
    <tableColumn id="10" xr3:uid="{00000000-0010-0000-5300-00000A000000}" name="Budget 19-21" dataDxfId="62" totalsRowDxfId="63" dataCellStyle="Currency"/>
  </tableColumns>
  <tableStyleInfo name="Feds Budget" showFirstColumn="0" showLastColumn="0" showRowStripes="0" showColumnStripes="1"/>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54000000}" name="MarketingGeneralRevenues7180" displayName="MarketingGeneralRevenues7180" ref="B3:M5" totalsRowCount="1" headerRowDxfId="61" headerRowCellStyle="Normal 3">
  <tableColumns count="12">
    <tableColumn id="1" xr3:uid="{00000000-0010-0000-5400-000001000000}" name="Revenues" totalsRowLabel="Total" totalsRowDxfId="60" dataCellStyle="Normal 22"/>
    <tableColumn id="3" xr3:uid="{00000000-0010-0000-5400-000003000000}" name="Actual 14/15" totalsRowFunction="sum" dataDxfId="58" totalsRowDxfId="59" dataCellStyle="Normal 22"/>
    <tableColumn id="7" xr3:uid="{00000000-0010-0000-5400-000007000000}" name="Budget 15/16" totalsRowFunction="sum" dataDxfId="56" totalsRowDxfId="57" dataCellStyle="Normal 22"/>
    <tableColumn id="8" xr3:uid="{00000000-0010-0000-5400-000008000000}" name="Actual 15/16" totalsRowFunction="sum" dataDxfId="54" totalsRowDxfId="55" dataCellStyle="Normal 22"/>
    <tableColumn id="2" xr3:uid="{00000000-0010-0000-5400-000002000000}" name="Budget 16/17" totalsRowFunction="custom" dataDxfId="52" totalsRowDxfId="53" dataCellStyle="Normal 22">
      <totalsRowFormula>SUBTOTAL(109,MarketingGeneralRevenues7180[Actual 15/16])</totalsRowFormula>
    </tableColumn>
    <tableColumn id="4" xr3:uid="{00000000-0010-0000-5400-000004000000}" name="Actual 16/17" totalsRowFunction="custom" totalsRowDxfId="51" dataCellStyle="Normal 22">
      <totalsRowFormula>SUBTOTAL(109,MarketingGeneralRevenues7180[Budget 16/17])</totalsRowFormula>
    </tableColumn>
    <tableColumn id="5" xr3:uid="{00000000-0010-0000-5400-000005000000}" name="Budget 17/18" totalsRowFunction="custom" totalsRowDxfId="50" dataCellStyle="Normal 22">
      <totalsRowFormula>SUBTOTAL(109,MarketingGeneralRevenues7180[Actual 16/17])</totalsRowFormula>
    </tableColumn>
    <tableColumn id="6" xr3:uid="{00000000-0010-0000-5400-000006000000}" name="Actual 17/18" totalsRowFunction="custom" totalsRowDxfId="49" dataCellStyle="Normal 22">
      <totalsRowFormula>SUBTOTAL(109,MarketingGeneralRevenues7180[Budget 17/18])</totalsRowFormula>
    </tableColumn>
    <tableColumn id="9" xr3:uid="{00000000-0010-0000-5400-000009000000}" name="Budget 18/19" totalsRowFunction="custom" totalsRowDxfId="48" dataCellStyle="Currency 16">
      <totalsRowFormula>SUBTOTAL(109,MarketingGeneralRevenues7180[Actual 17/18])</totalsRowFormula>
    </tableColumn>
    <tableColumn id="12" xr3:uid="{00000000-0010-0000-5400-00000C000000}" name="Actual 18/19" totalsRowFunction="custom" dataDxfId="46" totalsRowDxfId="47" dataCellStyle="Currency 16">
      <totalsRowFormula>SUBTOTAL(109,MarketingGeneralRevenues7180[Budget 18/19])</totalsRowFormula>
    </tableColumn>
    <tableColumn id="10" xr3:uid="{00000000-0010-0000-5400-00000A000000}" name="Budget 19/20" totalsRowFunction="custom" dataDxfId="44" totalsRowDxfId="45" dataCellStyle="Currency 16">
      <totalsRowFormula>MarketingGeneralRevenues7180[Budget 19/20]</totalsRowFormula>
    </tableColumn>
    <tableColumn id="11" xr3:uid="{00000000-0010-0000-5400-00000B000000}" name="Budget 19/21" dataDxfId="42" totalsRowDxfId="43" dataCellStyle="Normal 22"/>
  </tableColumns>
  <tableStyleInfo name="Feds Budget" showFirstColumn="0" showLastColumn="0" showRowStripes="0" showColumnStripes="1"/>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55000000}" name="MarketingGeneralExpenses7581" displayName="MarketingGeneralExpenses7581" ref="B7:M42" totalsRowCount="1" headerRowDxfId="41" headerRowCellStyle="Normal 3">
  <tableColumns count="12">
    <tableColumn id="1" xr3:uid="{00000000-0010-0000-5500-000001000000}" name="Expenses" totalsRowLabel="Total" totalsRowDxfId="40" dataCellStyle="Normal 22"/>
    <tableColumn id="2" xr3:uid="{00000000-0010-0000-5500-000002000000}" name="Budget 14/15" totalsRowFunction="sum" dataDxfId="38" totalsRowDxfId="39" dataCellStyle="Normal 22"/>
    <tableColumn id="6" xr3:uid="{00000000-0010-0000-5500-000006000000}" name="Budget 15/16" totalsRowFunction="sum" dataDxfId="36" totalsRowDxfId="37" dataCellStyle="Normal 22"/>
    <tableColumn id="8" xr3:uid="{00000000-0010-0000-5500-000008000000}" name="actual 15/16" totalsRowFunction="sum" dataDxfId="34" totalsRowDxfId="35" dataCellStyle="Normal 22"/>
    <tableColumn id="3" xr3:uid="{00000000-0010-0000-5500-000003000000}" name="Budget 16/17" totalsRowFunction="sum" dataDxfId="32" totalsRowDxfId="33" dataCellStyle="Normal 22"/>
    <tableColumn id="4" xr3:uid="{00000000-0010-0000-5500-000004000000}" name="Actual 16/17" totalsRowFunction="sum" totalsRowDxfId="31" dataCellStyle="Normal 22"/>
    <tableColumn id="5" xr3:uid="{00000000-0010-0000-5500-000005000000}" name="Budget 17/18" totalsRowFunction="sum" totalsRowDxfId="30" dataCellStyle="Normal 22"/>
    <tableColumn id="7" xr3:uid="{00000000-0010-0000-5500-000007000000}" name="Actual 17/18" totalsRowFunction="sum" totalsRowDxfId="29" dataCellStyle="Normal 22"/>
    <tableColumn id="9" xr3:uid="{00000000-0010-0000-5500-000009000000}" name="Budget 18/19" totalsRowFunction="sum" totalsRowDxfId="28" dataCellStyle="Normal 22"/>
    <tableColumn id="12" xr3:uid="{00000000-0010-0000-5500-00000C000000}" name="Actual 18/19" totalsRowFunction="sum" dataDxfId="26" totalsRowDxfId="27" dataCellStyle="Currency 16"/>
    <tableColumn id="11" xr3:uid="{00000000-0010-0000-5500-00000B000000}" name="Budget 19/20" totalsRowFunction="custom" dataDxfId="24" totalsRowDxfId="25" dataCellStyle="Currency 16">
      <totalsRowFormula>SUM(L8:L41)</totalsRowFormula>
    </tableColumn>
    <tableColumn id="10" xr3:uid="{00000000-0010-0000-5500-00000A000000}" name="Budget 19/21" dataDxfId="22" totalsRowDxfId="23" dataCellStyle="Currency 16"/>
  </tableColumns>
  <tableStyleInfo name="Feds Budget" showFirstColumn="0" showLastColumn="0" showRowStripes="0" showColumnStripes="1"/>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56000000}" name="MarketingGeneralRevenues718014" displayName="MarketingGeneralRevenues718014" ref="B3:G5" totalsRowCount="1" headerRowDxfId="21" headerRowCellStyle="Normal 3">
  <tableColumns count="6">
    <tableColumn id="1" xr3:uid="{00000000-0010-0000-5600-000001000000}" name="Revenues" totalsRowLabel="Total" totalsRowDxfId="20" dataCellStyle="Normal 22"/>
    <tableColumn id="3" xr3:uid="{00000000-0010-0000-5600-000003000000}" name="Actual 14/15" totalsRowFunction="sum" dataDxfId="18" totalsRowDxfId="19" dataCellStyle="Normal 22"/>
    <tableColumn id="7" xr3:uid="{00000000-0010-0000-5600-000007000000}" name="Budget 18/19" totalsRowFunction="sum" dataDxfId="16" totalsRowDxfId="17" dataCellStyle="Normal 22"/>
    <tableColumn id="8" xr3:uid="{00000000-0010-0000-5600-000008000000}" name="Actual 18/19" totalsRowFunction="sum" dataDxfId="14" totalsRowDxfId="15" dataCellStyle="Normal 22"/>
    <tableColumn id="2" xr3:uid="{00000000-0010-0000-5600-000002000000}" name="Budget 19/20" totalsRowFunction="custom" dataDxfId="12" totalsRowDxfId="13" dataCellStyle="Normal 22">
      <totalsRowFormula>SUBTOTAL(109,MarketingGeneralRevenues718014[Actual 18/19])</totalsRowFormula>
    </tableColumn>
    <tableColumn id="4" xr3:uid="{00000000-0010-0000-5600-000004000000}" name="Budget 19/21" totalsRowDxfId="11" dataCellStyle="Normal 22"/>
  </tableColumns>
  <tableStyleInfo name="Feds Budget" showFirstColumn="0" showLastColumn="0" showRowStripes="0" showColumnStripes="1"/>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57000000}" name="MarketingGeneralExpenses758115" displayName="MarketingGeneralExpenses758115" ref="B7:G32" totalsRowCount="1" headerRowDxfId="10" headerRowCellStyle="Normal 3">
  <tableColumns count="6">
    <tableColumn id="1" xr3:uid="{00000000-0010-0000-5700-000001000000}" name="Expenses" totalsRowLabel="Total" totalsRowDxfId="9" dataCellStyle="Normal 22"/>
    <tableColumn id="2" xr3:uid="{00000000-0010-0000-5700-000002000000}" name="Column1" totalsRowFunction="sum" dataDxfId="7" totalsRowDxfId="8" dataCellStyle="Normal 22"/>
    <tableColumn id="6" xr3:uid="{00000000-0010-0000-5700-000006000000}" name="Budget 18/19" totalsRowFunction="sum" dataDxfId="5" totalsRowDxfId="6" dataCellStyle="Normal 22"/>
    <tableColumn id="8" xr3:uid="{00000000-0010-0000-5700-000008000000}" name="Actual 18/19" totalsRowFunction="sum" dataDxfId="3" totalsRowDxfId="4" dataCellStyle="Normal 22"/>
    <tableColumn id="3" xr3:uid="{00000000-0010-0000-5700-000003000000}" name="Budget 19/20" totalsRowFunction="sum" dataDxfId="1" totalsRowDxfId="2" dataCellStyle="Normal 22"/>
    <tableColumn id="4" xr3:uid="{00000000-0010-0000-5700-000004000000}" name="Budget 19/21" totalsRowDxfId="0" dataCellStyle="Normal 22"/>
  </tableColumns>
  <tableStyleInfo name="Feds Budget" showFirstColumn="0" showLastColumn="0" showRowStripes="0" showColumnStripes="1"/>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08000000}" name="RPORevenues" displayName="RPORevenues" ref="B4:V6" totalsRowCount="1" headerRowDxfId="2607" dataDxfId="2606" headerRowBorderDxfId="2604" tableBorderDxfId="2605" totalsRowBorderDxfId="2603" headerRowCellStyle="Comma">
  <tableColumns count="21">
    <tableColumn id="1" xr3:uid="{00000000-0010-0000-0800-000001000000}" name="Revenues" totalsRowLabel="Total" dataDxfId="2601" totalsRowDxfId="2602"/>
    <tableColumn id="2" xr3:uid="{00000000-0010-0000-0800-000002000000}" name="Budget 10/11" totalsRowFunction="sum" dataDxfId="2599" totalsRowDxfId="2600"/>
    <tableColumn id="3" xr3:uid="{00000000-0010-0000-0800-000003000000}" name="Actual 10/11" totalsRowFunction="sum" dataDxfId="2597" totalsRowDxfId="2598"/>
    <tableColumn id="4" xr3:uid="{00000000-0010-0000-0800-000004000000}" name="Budget 11/12" totalsRowFunction="sum" dataDxfId="2595" totalsRowDxfId="2596"/>
    <tableColumn id="5" xr3:uid="{00000000-0010-0000-0800-000005000000}" name="Actual 11/12" totalsRowFunction="sum" dataDxfId="2593" totalsRowDxfId="2594"/>
    <tableColumn id="6" xr3:uid="{00000000-0010-0000-0800-000006000000}" name="Budget 12/13" totalsRowFunction="sum" dataDxfId="2591" totalsRowDxfId="2592"/>
    <tableColumn id="7" xr3:uid="{00000000-0010-0000-0800-000007000000}" name="Actual 12/13" totalsRowFunction="sum" dataDxfId="2589" totalsRowDxfId="2590"/>
    <tableColumn id="8" xr3:uid="{00000000-0010-0000-0800-000008000000}" name="Budget 13/14" totalsRowFunction="sum" dataDxfId="2587" totalsRowDxfId="2588"/>
    <tableColumn id="9" xr3:uid="{00000000-0010-0000-0800-000009000000}" name="Actual 13/14" totalsRowFunction="sum" dataDxfId="2585" totalsRowDxfId="2586"/>
    <tableColumn id="10" xr3:uid="{00000000-0010-0000-0800-00000A000000}" name="Budget 14/15" totalsRowFunction="sum" dataDxfId="2583" totalsRowDxfId="2584"/>
    <tableColumn id="11" xr3:uid="{00000000-0010-0000-0800-00000B000000}" name="Actual 14/15" totalsRowFunction="sum" dataDxfId="2581" totalsRowDxfId="2582"/>
    <tableColumn id="12" xr3:uid="{00000000-0010-0000-0800-00000C000000}" name="Budget 15/16" totalsRowFunction="sum" dataDxfId="2579" totalsRowDxfId="2580"/>
    <tableColumn id="13" xr3:uid="{00000000-0010-0000-0800-00000D000000}" name="Actual 15/16" totalsRowFunction="sum" dataDxfId="2577" totalsRowDxfId="2578"/>
    <tableColumn id="14" xr3:uid="{00000000-0010-0000-0800-00000E000000}" name="Budget 16/17" totalsRowFunction="sum" dataDxfId="2575" totalsRowDxfId="2576"/>
    <tableColumn id="15" xr3:uid="{00000000-0010-0000-0800-00000F000000}" name="Actual 16/17" totalsRowFunction="sum" dataDxfId="2573" totalsRowDxfId="2574"/>
    <tableColumn id="16" xr3:uid="{00000000-0010-0000-0800-000010000000}" name="Budget 17/18" totalsRowFunction="sum" dataDxfId="2571" totalsRowDxfId="2572"/>
    <tableColumn id="17" xr3:uid="{00000000-0010-0000-0800-000011000000}" name="Actual 17/18" dataDxfId="2569" totalsRowDxfId="2570"/>
    <tableColumn id="18" xr3:uid="{00000000-0010-0000-0800-000012000000}" name="Budget 18/19" dataDxfId="2567" totalsRowDxfId="2568"/>
    <tableColumn id="21" xr3:uid="{00000000-0010-0000-0800-000015000000}" name="Actual 18/19" dataDxfId="2565" totalsRowDxfId="2566" dataCellStyle="Currency 2"/>
    <tableColumn id="19" xr3:uid="{00000000-0010-0000-0800-000013000000}" name="Budget 19/20" dataDxfId="2563" totalsRowDxfId="2564"/>
    <tableColumn id="20" xr3:uid="{00000000-0010-0000-0800-000014000000}" name="Budget 19/21" dataDxfId="2561" totalsRowDxfId="2562"/>
  </tableColumns>
  <tableStyleInfo name="Feds Budget" showFirstColumn="0" showLastColumn="0" showRowStripes="0"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vmlDrawing" Target="../drawings/vmlDrawing7.vml"/><Relationship Id="rId1" Type="http://schemas.openxmlformats.org/officeDocument/2006/relationships/printerSettings" Target="../printerSettings/printerSettings10.bin"/><Relationship Id="rId5" Type="http://schemas.openxmlformats.org/officeDocument/2006/relationships/comments" Target="../comments7.xml"/><Relationship Id="rId4" Type="http://schemas.openxmlformats.org/officeDocument/2006/relationships/table" Target="../tables/table16.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vmlDrawing" Target="../drawings/vmlDrawing8.vml"/><Relationship Id="rId1" Type="http://schemas.openxmlformats.org/officeDocument/2006/relationships/printerSettings" Target="../printerSettings/printerSettings11.bin"/><Relationship Id="rId5" Type="http://schemas.openxmlformats.org/officeDocument/2006/relationships/comments" Target="../comments8.xml"/><Relationship Id="rId4" Type="http://schemas.openxmlformats.org/officeDocument/2006/relationships/table" Target="../tables/table18.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vmlDrawing" Target="../drawings/vmlDrawing9.vml"/><Relationship Id="rId1" Type="http://schemas.openxmlformats.org/officeDocument/2006/relationships/printerSettings" Target="../printerSettings/printerSettings12.bin"/><Relationship Id="rId5" Type="http://schemas.openxmlformats.org/officeDocument/2006/relationships/comments" Target="../comments9.xml"/><Relationship Id="rId4" Type="http://schemas.openxmlformats.org/officeDocument/2006/relationships/table" Target="../tables/table20.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vmlDrawing" Target="../drawings/vmlDrawing10.vml"/><Relationship Id="rId1" Type="http://schemas.openxmlformats.org/officeDocument/2006/relationships/printerSettings" Target="../printerSettings/printerSettings13.bin"/><Relationship Id="rId5" Type="http://schemas.openxmlformats.org/officeDocument/2006/relationships/comments" Target="../comments10.xml"/><Relationship Id="rId4" Type="http://schemas.openxmlformats.org/officeDocument/2006/relationships/table" Target="../tables/table2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vmlDrawing" Target="../drawings/vmlDrawing11.vml"/><Relationship Id="rId1" Type="http://schemas.openxmlformats.org/officeDocument/2006/relationships/printerSettings" Target="../printerSettings/printerSettings14.bin"/><Relationship Id="rId5" Type="http://schemas.openxmlformats.org/officeDocument/2006/relationships/comments" Target="../comments11.xml"/><Relationship Id="rId4" Type="http://schemas.openxmlformats.org/officeDocument/2006/relationships/table" Target="../tables/table24.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vmlDrawing" Target="../drawings/vmlDrawing12.vml"/><Relationship Id="rId1" Type="http://schemas.openxmlformats.org/officeDocument/2006/relationships/printerSettings" Target="../printerSettings/printerSettings15.bin"/><Relationship Id="rId5" Type="http://schemas.openxmlformats.org/officeDocument/2006/relationships/comments" Target="../comments12.xml"/><Relationship Id="rId4" Type="http://schemas.openxmlformats.org/officeDocument/2006/relationships/table" Target="../tables/table26.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vmlDrawing" Target="../drawings/vmlDrawing13.vml"/><Relationship Id="rId1" Type="http://schemas.openxmlformats.org/officeDocument/2006/relationships/printerSettings" Target="../printerSettings/printerSettings16.bin"/><Relationship Id="rId5" Type="http://schemas.openxmlformats.org/officeDocument/2006/relationships/comments" Target="../comments13.xml"/><Relationship Id="rId4" Type="http://schemas.openxmlformats.org/officeDocument/2006/relationships/table" Target="../tables/table28.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vmlDrawing" Target="../drawings/vmlDrawing14.vml"/><Relationship Id="rId1" Type="http://schemas.openxmlformats.org/officeDocument/2006/relationships/printerSettings" Target="../printerSettings/printerSettings17.bin"/><Relationship Id="rId5" Type="http://schemas.openxmlformats.org/officeDocument/2006/relationships/comments" Target="../comments14.xml"/><Relationship Id="rId4" Type="http://schemas.openxmlformats.org/officeDocument/2006/relationships/table" Target="../tables/table30.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vmlDrawing" Target="../drawings/vmlDrawing15.vml"/><Relationship Id="rId1" Type="http://schemas.openxmlformats.org/officeDocument/2006/relationships/printerSettings" Target="../printerSettings/printerSettings18.bin"/><Relationship Id="rId5" Type="http://schemas.openxmlformats.org/officeDocument/2006/relationships/comments" Target="../comments15.xml"/><Relationship Id="rId4" Type="http://schemas.openxmlformats.org/officeDocument/2006/relationships/table" Target="../tables/table32.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vmlDrawing" Target="../drawings/vmlDrawing16.vml"/><Relationship Id="rId1" Type="http://schemas.openxmlformats.org/officeDocument/2006/relationships/printerSettings" Target="../printerSettings/printerSettings19.bin"/><Relationship Id="rId5" Type="http://schemas.openxmlformats.org/officeDocument/2006/relationships/comments" Target="../comments16.xml"/><Relationship Id="rId4" Type="http://schemas.openxmlformats.org/officeDocument/2006/relationships/table" Target="../tables/table3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vmlDrawing" Target="../drawings/vmlDrawing17.vml"/><Relationship Id="rId1" Type="http://schemas.openxmlformats.org/officeDocument/2006/relationships/printerSettings" Target="../printerSettings/printerSettings20.bin"/><Relationship Id="rId5" Type="http://schemas.openxmlformats.org/officeDocument/2006/relationships/comments" Target="../comments17.xml"/><Relationship Id="rId4" Type="http://schemas.openxmlformats.org/officeDocument/2006/relationships/table" Target="../tables/table36.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vmlDrawing" Target="../drawings/vmlDrawing18.vml"/><Relationship Id="rId1" Type="http://schemas.openxmlformats.org/officeDocument/2006/relationships/printerSettings" Target="../printerSettings/printerSettings21.bin"/><Relationship Id="rId5" Type="http://schemas.openxmlformats.org/officeDocument/2006/relationships/comments" Target="../comments18.xml"/><Relationship Id="rId4" Type="http://schemas.openxmlformats.org/officeDocument/2006/relationships/table" Target="../tables/table38.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vmlDrawing" Target="../drawings/vmlDrawing19.vml"/><Relationship Id="rId1" Type="http://schemas.openxmlformats.org/officeDocument/2006/relationships/printerSettings" Target="../printerSettings/printerSettings22.bin"/><Relationship Id="rId5" Type="http://schemas.openxmlformats.org/officeDocument/2006/relationships/comments" Target="../comments19.xml"/><Relationship Id="rId4" Type="http://schemas.openxmlformats.org/officeDocument/2006/relationships/table" Target="../tables/table40.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vmlDrawing" Target="../drawings/vmlDrawing20.vml"/><Relationship Id="rId1" Type="http://schemas.openxmlformats.org/officeDocument/2006/relationships/printerSettings" Target="../printerSettings/printerSettings23.bin"/><Relationship Id="rId6" Type="http://schemas.openxmlformats.org/officeDocument/2006/relationships/comments" Target="../comments20.xml"/><Relationship Id="rId5" Type="http://schemas.openxmlformats.org/officeDocument/2006/relationships/table" Target="../tables/table43.xml"/><Relationship Id="rId4" Type="http://schemas.openxmlformats.org/officeDocument/2006/relationships/table" Target="../tables/table42.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vmlDrawing" Target="../drawings/vmlDrawing21.vml"/><Relationship Id="rId1" Type="http://schemas.openxmlformats.org/officeDocument/2006/relationships/printerSettings" Target="../printerSettings/printerSettings24.bin"/><Relationship Id="rId5" Type="http://schemas.openxmlformats.org/officeDocument/2006/relationships/comments" Target="../comments21.xml"/><Relationship Id="rId4" Type="http://schemas.openxmlformats.org/officeDocument/2006/relationships/table" Target="../tables/table45.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vmlDrawing" Target="../drawings/vmlDrawing22.vml"/><Relationship Id="rId1" Type="http://schemas.openxmlformats.org/officeDocument/2006/relationships/printerSettings" Target="../printerSettings/printerSettings25.bin"/><Relationship Id="rId5" Type="http://schemas.openxmlformats.org/officeDocument/2006/relationships/comments" Target="../comments22.xml"/><Relationship Id="rId4" Type="http://schemas.openxmlformats.org/officeDocument/2006/relationships/table" Target="../tables/table47.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vmlDrawing" Target="../drawings/vmlDrawing23.vml"/><Relationship Id="rId1" Type="http://schemas.openxmlformats.org/officeDocument/2006/relationships/printerSettings" Target="../printerSettings/printerSettings26.bin"/><Relationship Id="rId5" Type="http://schemas.openxmlformats.org/officeDocument/2006/relationships/comments" Target="../comments23.xml"/><Relationship Id="rId4" Type="http://schemas.openxmlformats.org/officeDocument/2006/relationships/table" Target="../tables/table49.xml"/></Relationships>
</file>

<file path=xl/worksheets/_rels/sheet27.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vmlDrawing" Target="../drawings/vmlDrawing24.vml"/><Relationship Id="rId1" Type="http://schemas.openxmlformats.org/officeDocument/2006/relationships/printerSettings" Target="../printerSettings/printerSettings27.bin"/><Relationship Id="rId5" Type="http://schemas.openxmlformats.org/officeDocument/2006/relationships/comments" Target="../comments24.xml"/><Relationship Id="rId4" Type="http://schemas.openxmlformats.org/officeDocument/2006/relationships/table" Target="../tables/table51.xml"/></Relationships>
</file>

<file path=xl/worksheets/_rels/sheet28.xml.rels><?xml version="1.0" encoding="UTF-8" standalone="yes"?>
<Relationships xmlns="http://schemas.openxmlformats.org/package/2006/relationships"><Relationship Id="rId3" Type="http://schemas.openxmlformats.org/officeDocument/2006/relationships/table" Target="../tables/table53.xml"/><Relationship Id="rId2" Type="http://schemas.openxmlformats.org/officeDocument/2006/relationships/table" Target="../tables/table52.xml"/><Relationship Id="rId1" Type="http://schemas.openxmlformats.org/officeDocument/2006/relationships/vmlDrawing" Target="../drawings/vmlDrawing25.vml"/><Relationship Id="rId4" Type="http://schemas.openxmlformats.org/officeDocument/2006/relationships/comments" Target="../comments25.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54.xml"/><Relationship Id="rId2" Type="http://schemas.openxmlformats.org/officeDocument/2006/relationships/vmlDrawing" Target="../drawings/vmlDrawing26.vml"/><Relationship Id="rId1" Type="http://schemas.openxmlformats.org/officeDocument/2006/relationships/printerSettings" Target="../printerSettings/printerSettings28.bin"/><Relationship Id="rId6" Type="http://schemas.openxmlformats.org/officeDocument/2006/relationships/comments" Target="../comments26.xml"/><Relationship Id="rId5" Type="http://schemas.openxmlformats.org/officeDocument/2006/relationships/table" Target="../tables/table56.xml"/><Relationship Id="rId4" Type="http://schemas.openxmlformats.org/officeDocument/2006/relationships/table" Target="../tables/table55.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57.xml"/><Relationship Id="rId2" Type="http://schemas.openxmlformats.org/officeDocument/2006/relationships/vmlDrawing" Target="../drawings/vmlDrawing27.vml"/><Relationship Id="rId1" Type="http://schemas.openxmlformats.org/officeDocument/2006/relationships/printerSettings" Target="../printerSettings/printerSettings29.bin"/><Relationship Id="rId5" Type="http://schemas.openxmlformats.org/officeDocument/2006/relationships/comments" Target="../comments27.xml"/><Relationship Id="rId4" Type="http://schemas.openxmlformats.org/officeDocument/2006/relationships/table" Target="../tables/table58.xml"/></Relationships>
</file>

<file path=xl/worksheets/_rels/sheet31.xml.rels><?xml version="1.0" encoding="UTF-8" standalone="yes"?>
<Relationships xmlns="http://schemas.openxmlformats.org/package/2006/relationships"><Relationship Id="rId3" Type="http://schemas.openxmlformats.org/officeDocument/2006/relationships/table" Target="../tables/table59.xml"/><Relationship Id="rId2" Type="http://schemas.openxmlformats.org/officeDocument/2006/relationships/vmlDrawing" Target="../drawings/vmlDrawing28.vml"/><Relationship Id="rId1" Type="http://schemas.openxmlformats.org/officeDocument/2006/relationships/printerSettings" Target="../printerSettings/printerSettings30.bin"/><Relationship Id="rId5" Type="http://schemas.openxmlformats.org/officeDocument/2006/relationships/comments" Target="../comments28.xml"/><Relationship Id="rId4" Type="http://schemas.openxmlformats.org/officeDocument/2006/relationships/table" Target="../tables/table60.xml"/></Relationships>
</file>

<file path=xl/worksheets/_rels/sheet32.xml.rels><?xml version="1.0" encoding="UTF-8" standalone="yes"?>
<Relationships xmlns="http://schemas.openxmlformats.org/package/2006/relationships"><Relationship Id="rId3" Type="http://schemas.openxmlformats.org/officeDocument/2006/relationships/table" Target="../tables/table61.xml"/><Relationship Id="rId2" Type="http://schemas.openxmlformats.org/officeDocument/2006/relationships/vmlDrawing" Target="../drawings/vmlDrawing29.vml"/><Relationship Id="rId1" Type="http://schemas.openxmlformats.org/officeDocument/2006/relationships/printerSettings" Target="../printerSettings/printerSettings31.bin"/><Relationship Id="rId5" Type="http://schemas.openxmlformats.org/officeDocument/2006/relationships/comments" Target="../comments29.xml"/><Relationship Id="rId4" Type="http://schemas.openxmlformats.org/officeDocument/2006/relationships/table" Target="../tables/table62.xml"/></Relationships>
</file>

<file path=xl/worksheets/_rels/sheet33.xml.rels><?xml version="1.0" encoding="UTF-8" standalone="yes"?>
<Relationships xmlns="http://schemas.openxmlformats.org/package/2006/relationships"><Relationship Id="rId3" Type="http://schemas.openxmlformats.org/officeDocument/2006/relationships/table" Target="../tables/table64.xml"/><Relationship Id="rId2" Type="http://schemas.openxmlformats.org/officeDocument/2006/relationships/table" Target="../tables/table63.xml"/><Relationship Id="rId1" Type="http://schemas.openxmlformats.org/officeDocument/2006/relationships/vmlDrawing" Target="../drawings/vmlDrawing30.vml"/><Relationship Id="rId4" Type="http://schemas.openxmlformats.org/officeDocument/2006/relationships/comments" Target="../comments30.xml"/></Relationships>
</file>

<file path=xl/worksheets/_rels/sheet34.xml.rels><?xml version="1.0" encoding="UTF-8" standalone="yes"?>
<Relationships xmlns="http://schemas.openxmlformats.org/package/2006/relationships"><Relationship Id="rId3" Type="http://schemas.openxmlformats.org/officeDocument/2006/relationships/table" Target="../tables/table65.xml"/><Relationship Id="rId2" Type="http://schemas.openxmlformats.org/officeDocument/2006/relationships/vmlDrawing" Target="../drawings/vmlDrawing31.vml"/><Relationship Id="rId1" Type="http://schemas.openxmlformats.org/officeDocument/2006/relationships/printerSettings" Target="../printerSettings/printerSettings32.bin"/><Relationship Id="rId5" Type="http://schemas.openxmlformats.org/officeDocument/2006/relationships/comments" Target="../comments31.xml"/><Relationship Id="rId4" Type="http://schemas.openxmlformats.org/officeDocument/2006/relationships/table" Target="../tables/table66.xml"/></Relationships>
</file>

<file path=xl/worksheets/_rels/sheet35.xml.rels><?xml version="1.0" encoding="UTF-8" standalone="yes"?>
<Relationships xmlns="http://schemas.openxmlformats.org/package/2006/relationships"><Relationship Id="rId3" Type="http://schemas.openxmlformats.org/officeDocument/2006/relationships/table" Target="../tables/table67.xml"/><Relationship Id="rId2" Type="http://schemas.openxmlformats.org/officeDocument/2006/relationships/vmlDrawing" Target="../drawings/vmlDrawing32.vml"/><Relationship Id="rId1" Type="http://schemas.openxmlformats.org/officeDocument/2006/relationships/printerSettings" Target="../printerSettings/printerSettings33.bin"/><Relationship Id="rId5" Type="http://schemas.openxmlformats.org/officeDocument/2006/relationships/comments" Target="../comments32.xml"/><Relationship Id="rId4" Type="http://schemas.openxmlformats.org/officeDocument/2006/relationships/table" Target="../tables/table68.xml"/></Relationships>
</file>

<file path=xl/worksheets/_rels/sheet36.xml.rels><?xml version="1.0" encoding="UTF-8" standalone="yes"?>
<Relationships xmlns="http://schemas.openxmlformats.org/package/2006/relationships"><Relationship Id="rId3" Type="http://schemas.openxmlformats.org/officeDocument/2006/relationships/table" Target="../tables/table70.xml"/><Relationship Id="rId2" Type="http://schemas.openxmlformats.org/officeDocument/2006/relationships/table" Target="../tables/table69.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3" Type="http://schemas.openxmlformats.org/officeDocument/2006/relationships/table" Target="../tables/table71.xml"/><Relationship Id="rId2" Type="http://schemas.openxmlformats.org/officeDocument/2006/relationships/drawing" Target="../drawings/drawing1.xml"/><Relationship Id="rId1" Type="http://schemas.openxmlformats.org/officeDocument/2006/relationships/printerSettings" Target="../printerSettings/printerSettings35.bin"/><Relationship Id="rId4" Type="http://schemas.openxmlformats.org/officeDocument/2006/relationships/table" Target="../tables/table72.xml"/></Relationships>
</file>

<file path=xl/worksheets/_rels/sheet38.xml.rels><?xml version="1.0" encoding="UTF-8" standalone="yes"?>
<Relationships xmlns="http://schemas.openxmlformats.org/package/2006/relationships"><Relationship Id="rId3" Type="http://schemas.openxmlformats.org/officeDocument/2006/relationships/table" Target="../tables/table73.xml"/><Relationship Id="rId2" Type="http://schemas.openxmlformats.org/officeDocument/2006/relationships/vmlDrawing" Target="../drawings/vmlDrawing33.vml"/><Relationship Id="rId1" Type="http://schemas.openxmlformats.org/officeDocument/2006/relationships/printerSettings" Target="../printerSettings/printerSettings36.bin"/><Relationship Id="rId5" Type="http://schemas.openxmlformats.org/officeDocument/2006/relationships/comments" Target="../comments33.xml"/><Relationship Id="rId4" Type="http://schemas.openxmlformats.org/officeDocument/2006/relationships/table" Target="../tables/table74.xml"/></Relationships>
</file>

<file path=xl/worksheets/_rels/sheet39.xml.rels><?xml version="1.0" encoding="UTF-8" standalone="yes"?>
<Relationships xmlns="http://schemas.openxmlformats.org/package/2006/relationships"><Relationship Id="rId3" Type="http://schemas.openxmlformats.org/officeDocument/2006/relationships/table" Target="../tables/table75.xml"/><Relationship Id="rId2" Type="http://schemas.openxmlformats.org/officeDocument/2006/relationships/vmlDrawing" Target="../drawings/vmlDrawing34.vml"/><Relationship Id="rId1" Type="http://schemas.openxmlformats.org/officeDocument/2006/relationships/printerSettings" Target="../printerSettings/printerSettings37.bin"/><Relationship Id="rId5" Type="http://schemas.openxmlformats.org/officeDocument/2006/relationships/comments" Target="../comments34.xml"/><Relationship Id="rId4" Type="http://schemas.openxmlformats.org/officeDocument/2006/relationships/table" Target="../tables/table7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table" Target="../tables/table4.xml"/></Relationships>
</file>

<file path=xl/worksheets/_rels/sheet40.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3" Type="http://schemas.openxmlformats.org/officeDocument/2006/relationships/table" Target="../tables/table77.xml"/><Relationship Id="rId2" Type="http://schemas.openxmlformats.org/officeDocument/2006/relationships/vmlDrawing" Target="../drawings/vmlDrawing37.vml"/><Relationship Id="rId1" Type="http://schemas.openxmlformats.org/officeDocument/2006/relationships/printerSettings" Target="../printerSettings/printerSettings46.bin"/><Relationship Id="rId5" Type="http://schemas.openxmlformats.org/officeDocument/2006/relationships/comments" Target="../comments37.xml"/><Relationship Id="rId4" Type="http://schemas.openxmlformats.org/officeDocument/2006/relationships/table" Target="../tables/table7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table" Target="../tables/table6.xml"/></Relationships>
</file>

<file path=xl/worksheets/_rels/sheet50.xml.rels><?xml version="1.0" encoding="UTF-8" standalone="yes"?>
<Relationships xmlns="http://schemas.openxmlformats.org/package/2006/relationships"><Relationship Id="rId3" Type="http://schemas.openxmlformats.org/officeDocument/2006/relationships/table" Target="../tables/table79.xml"/><Relationship Id="rId2" Type="http://schemas.openxmlformats.org/officeDocument/2006/relationships/vmlDrawing" Target="../drawings/vmlDrawing38.vml"/><Relationship Id="rId1" Type="http://schemas.openxmlformats.org/officeDocument/2006/relationships/printerSettings" Target="../printerSettings/printerSettings47.bin"/><Relationship Id="rId5" Type="http://schemas.openxmlformats.org/officeDocument/2006/relationships/comments" Target="../comments38.xml"/><Relationship Id="rId4" Type="http://schemas.openxmlformats.org/officeDocument/2006/relationships/table" Target="../tables/table80.xml"/></Relationships>
</file>

<file path=xl/worksheets/_rels/sheet51.xml.rels><?xml version="1.0" encoding="UTF-8" standalone="yes"?>
<Relationships xmlns="http://schemas.openxmlformats.org/package/2006/relationships"><Relationship Id="rId3" Type="http://schemas.openxmlformats.org/officeDocument/2006/relationships/table" Target="../tables/table81.xml"/><Relationship Id="rId2" Type="http://schemas.openxmlformats.org/officeDocument/2006/relationships/vmlDrawing" Target="../drawings/vmlDrawing39.vml"/><Relationship Id="rId1" Type="http://schemas.openxmlformats.org/officeDocument/2006/relationships/printerSettings" Target="../printerSettings/printerSettings48.bin"/><Relationship Id="rId5" Type="http://schemas.openxmlformats.org/officeDocument/2006/relationships/comments" Target="../comments39.xml"/><Relationship Id="rId4" Type="http://schemas.openxmlformats.org/officeDocument/2006/relationships/table" Target="../tables/table82.xml"/></Relationships>
</file>

<file path=xl/worksheets/_rels/sheet52.xml.rels><?xml version="1.0" encoding="UTF-8" standalone="yes"?>
<Relationships xmlns="http://schemas.openxmlformats.org/package/2006/relationships"><Relationship Id="rId3" Type="http://schemas.openxmlformats.org/officeDocument/2006/relationships/table" Target="../tables/table83.xml"/><Relationship Id="rId2" Type="http://schemas.openxmlformats.org/officeDocument/2006/relationships/vmlDrawing" Target="../drawings/vmlDrawing40.vml"/><Relationship Id="rId1" Type="http://schemas.openxmlformats.org/officeDocument/2006/relationships/printerSettings" Target="../printerSettings/printerSettings49.bin"/><Relationship Id="rId5" Type="http://schemas.openxmlformats.org/officeDocument/2006/relationships/comments" Target="../comments40.xml"/><Relationship Id="rId4" Type="http://schemas.openxmlformats.org/officeDocument/2006/relationships/table" Target="../tables/table84.xml"/></Relationships>
</file>

<file path=xl/worksheets/_rels/sheet53.xml.rels><?xml version="1.0" encoding="UTF-8" standalone="yes"?>
<Relationships xmlns="http://schemas.openxmlformats.org/package/2006/relationships"><Relationship Id="rId3" Type="http://schemas.openxmlformats.org/officeDocument/2006/relationships/table" Target="../tables/table85.xml"/><Relationship Id="rId2" Type="http://schemas.openxmlformats.org/officeDocument/2006/relationships/vmlDrawing" Target="../drawings/vmlDrawing41.vml"/><Relationship Id="rId1" Type="http://schemas.openxmlformats.org/officeDocument/2006/relationships/printerSettings" Target="../printerSettings/printerSettings50.bin"/><Relationship Id="rId5" Type="http://schemas.openxmlformats.org/officeDocument/2006/relationships/comments" Target="../comments41.xml"/><Relationship Id="rId4" Type="http://schemas.openxmlformats.org/officeDocument/2006/relationships/table" Target="../tables/table86.xm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3" Type="http://schemas.openxmlformats.org/officeDocument/2006/relationships/table" Target="../tables/table87.xml"/><Relationship Id="rId2" Type="http://schemas.openxmlformats.org/officeDocument/2006/relationships/vmlDrawing" Target="../drawings/vmlDrawing42.vml"/><Relationship Id="rId1" Type="http://schemas.openxmlformats.org/officeDocument/2006/relationships/printerSettings" Target="../printerSettings/printerSettings52.bin"/><Relationship Id="rId5" Type="http://schemas.openxmlformats.org/officeDocument/2006/relationships/comments" Target="../comments42.xml"/><Relationship Id="rId4" Type="http://schemas.openxmlformats.org/officeDocument/2006/relationships/table" Target="../tables/table8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table" Target="../tables/table8.xm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table" Target="../tables/table10.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table" Target="../tables/table12.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vmlDrawing" Target="../drawings/vmlDrawing6.vml"/><Relationship Id="rId1" Type="http://schemas.openxmlformats.org/officeDocument/2006/relationships/printerSettings" Target="../printerSettings/printerSettings9.bin"/><Relationship Id="rId5" Type="http://schemas.openxmlformats.org/officeDocument/2006/relationships/comments" Target="../comments6.xml"/><Relationship Id="rId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8:K14"/>
  <sheetViews>
    <sheetView showGridLines="0" zoomScaleNormal="100" zoomScalePageLayoutView="89" workbookViewId="0">
      <selection activeCell="B12" sqref="B12:K12"/>
    </sheetView>
  </sheetViews>
  <sheetFormatPr defaultRowHeight="12.75"/>
  <cols>
    <col min="1" max="1" width="9" customWidth="1"/>
    <col min="11" max="11" width="27.140625" customWidth="1"/>
  </cols>
  <sheetData>
    <row r="8" spans="2:11" ht="13.5" thickBot="1"/>
    <row r="9" spans="2:11" ht="28.5">
      <c r="B9" s="516" t="s">
        <v>0</v>
      </c>
      <c r="C9" s="517"/>
      <c r="D9" s="517"/>
      <c r="E9" s="517"/>
      <c r="F9" s="517"/>
      <c r="G9" s="517"/>
      <c r="H9" s="517"/>
      <c r="I9" s="517"/>
      <c r="J9" s="517"/>
      <c r="K9" s="518"/>
    </row>
    <row r="10" spans="2:11" ht="23.25">
      <c r="B10" s="522" t="s">
        <v>1</v>
      </c>
      <c r="C10" s="523"/>
      <c r="D10" s="523"/>
      <c r="E10" s="523"/>
      <c r="F10" s="523"/>
      <c r="G10" s="523"/>
      <c r="H10" s="523"/>
      <c r="I10" s="523"/>
      <c r="J10" s="523"/>
      <c r="K10" s="524"/>
    </row>
    <row r="11" spans="2:11" ht="26.25">
      <c r="B11" s="525" t="s">
        <v>2</v>
      </c>
      <c r="C11" s="526"/>
      <c r="D11" s="526"/>
      <c r="E11" s="526"/>
      <c r="F11" s="526"/>
      <c r="G11" s="526"/>
      <c r="H11" s="526"/>
      <c r="I11" s="526"/>
      <c r="J11" s="526"/>
      <c r="K11" s="527"/>
    </row>
    <row r="12" spans="2:11" ht="23.25">
      <c r="B12" s="528"/>
      <c r="C12" s="529"/>
      <c r="D12" s="529"/>
      <c r="E12" s="529"/>
      <c r="F12" s="529"/>
      <c r="G12" s="529"/>
      <c r="H12" s="529"/>
      <c r="I12" s="529"/>
      <c r="J12" s="529"/>
      <c r="K12" s="530"/>
    </row>
    <row r="13" spans="2:11" ht="21">
      <c r="B13" s="531"/>
      <c r="C13" s="532"/>
      <c r="D13" s="532"/>
      <c r="E13" s="532"/>
      <c r="F13" s="532"/>
      <c r="G13" s="532"/>
      <c r="H13" s="532"/>
      <c r="I13" s="532"/>
      <c r="J13" s="532"/>
      <c r="K13" s="533"/>
    </row>
    <row r="14" spans="2:11" ht="29.25" thickBot="1">
      <c r="B14" s="519"/>
      <c r="C14" s="520"/>
      <c r="D14" s="520"/>
      <c r="E14" s="520"/>
      <c r="F14" s="520"/>
      <c r="G14" s="520"/>
      <c r="H14" s="520"/>
      <c r="I14" s="520"/>
      <c r="J14" s="520"/>
      <c r="K14" s="521"/>
    </row>
  </sheetData>
  <mergeCells count="6">
    <mergeCell ref="B9:K9"/>
    <mergeCell ref="B14:K14"/>
    <mergeCell ref="B10:K10"/>
    <mergeCell ref="B11:K11"/>
    <mergeCell ref="B12:K12"/>
    <mergeCell ref="B13:K13"/>
  </mergeCells>
  <printOptions horizontalCentered="1" verticalCentered="1"/>
  <pageMargins left="0.70866141732283472" right="0.70866141732283472" top="0.74803149606299213" bottom="0.74803149606299213" header="0.31496062992125984" footer="0.31496062992125984"/>
  <pageSetup fitToHeight="0" orientation="landscape" horizontalDpi="203" verticalDpi="98"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1"/>
    <pageSetUpPr fitToPage="1"/>
  </sheetPr>
  <dimension ref="A1:W39"/>
  <sheetViews>
    <sheetView showGridLines="0" zoomScale="90" zoomScaleNormal="90" workbookViewId="0">
      <selection activeCell="AA9" sqref="AA9"/>
    </sheetView>
  </sheetViews>
  <sheetFormatPr defaultColWidth="11.42578125" defaultRowHeight="12.75"/>
  <cols>
    <col min="1" max="1" width="14.5703125" customWidth="1"/>
    <col min="2" max="2" width="34.5703125" bestFit="1" customWidth="1"/>
    <col min="3" max="3" width="16.85546875" hidden="1" customWidth="1"/>
    <col min="4" max="7" width="17.5703125" hidden="1" customWidth="1"/>
    <col min="8" max="8" width="16.85546875" hidden="1" customWidth="1"/>
    <col min="9" max="9" width="17.5703125" hidden="1" customWidth="1"/>
    <col min="10" max="13" width="16.85546875" hidden="1" customWidth="1"/>
    <col min="14" max="14" width="16" style="148" hidden="1" customWidth="1"/>
    <col min="15" max="15" width="15.5703125" hidden="1" customWidth="1"/>
    <col min="16" max="16" width="20.42578125" hidden="1" customWidth="1"/>
    <col min="17" max="17" width="17" customWidth="1"/>
    <col min="18" max="18" width="17.140625" customWidth="1"/>
    <col min="19" max="19" width="18" customWidth="1"/>
    <col min="20" max="21" width="16" bestFit="1" customWidth="1"/>
  </cols>
  <sheetData>
    <row r="1" spans="1:22" ht="18">
      <c r="A1" s="534" t="s">
        <v>185</v>
      </c>
      <c r="B1" s="536"/>
      <c r="C1" s="8"/>
      <c r="D1" s="8"/>
      <c r="E1" s="8"/>
      <c r="F1" s="8"/>
      <c r="G1" s="8"/>
      <c r="H1" s="8"/>
      <c r="I1" s="8"/>
      <c r="J1" s="8"/>
      <c r="K1" s="8"/>
      <c r="L1" s="8"/>
      <c r="M1" s="8"/>
      <c r="N1" s="138"/>
      <c r="O1" s="8"/>
    </row>
    <row r="2" spans="1:22">
      <c r="A2" s="28" t="s">
        <v>186</v>
      </c>
      <c r="B2" s="8"/>
      <c r="C2" s="8"/>
      <c r="D2" s="8"/>
      <c r="E2" s="8"/>
      <c r="F2" s="8"/>
      <c r="G2" s="8"/>
      <c r="H2" s="8"/>
      <c r="I2" s="8"/>
      <c r="J2" s="8"/>
      <c r="K2" s="8"/>
      <c r="L2" s="8"/>
      <c r="M2" s="8"/>
      <c r="N2" s="138"/>
      <c r="O2" s="8"/>
    </row>
    <row r="3" spans="1:22">
      <c r="A3" s="8"/>
      <c r="B3" s="8"/>
      <c r="C3" s="8"/>
      <c r="D3" s="8"/>
      <c r="E3" s="8"/>
      <c r="F3" s="8"/>
      <c r="G3" s="8"/>
      <c r="H3" s="8"/>
      <c r="I3" s="8"/>
      <c r="J3" s="8"/>
      <c r="K3" s="8"/>
      <c r="L3" s="8"/>
      <c r="M3" s="8"/>
      <c r="N3" s="138"/>
      <c r="O3" s="8"/>
    </row>
    <row r="4" spans="1:22">
      <c r="A4" s="8"/>
      <c r="B4" s="8" t="s">
        <v>47</v>
      </c>
      <c r="C4" s="50" t="s">
        <v>48</v>
      </c>
      <c r="D4" s="50" t="s">
        <v>49</v>
      </c>
      <c r="E4" s="50" t="s">
        <v>50</v>
      </c>
      <c r="F4" s="50" t="s">
        <v>51</v>
      </c>
      <c r="G4" s="50" t="s">
        <v>52</v>
      </c>
      <c r="H4" s="50" t="s">
        <v>53</v>
      </c>
      <c r="I4" s="50" t="s">
        <v>54</v>
      </c>
      <c r="J4" s="50" t="s">
        <v>55</v>
      </c>
      <c r="K4" s="50" t="s">
        <v>56</v>
      </c>
      <c r="L4" s="50" t="s">
        <v>104</v>
      </c>
      <c r="M4" s="50" t="s">
        <v>29</v>
      </c>
      <c r="N4" s="175" t="s">
        <v>30</v>
      </c>
      <c r="O4" s="50" t="s">
        <v>31</v>
      </c>
      <c r="P4" s="50" t="s">
        <v>32</v>
      </c>
      <c r="Q4" s="50" t="s">
        <v>33</v>
      </c>
      <c r="R4" s="50" t="s">
        <v>34</v>
      </c>
      <c r="S4" s="50" t="s">
        <v>6</v>
      </c>
      <c r="T4" s="50" t="s">
        <v>7</v>
      </c>
      <c r="U4" s="50" t="s">
        <v>8</v>
      </c>
      <c r="V4" s="50" t="s">
        <v>35</v>
      </c>
    </row>
    <row r="5" spans="1:22" ht="13.5" thickBot="1">
      <c r="A5" s="8"/>
      <c r="B5" s="8" t="s">
        <v>187</v>
      </c>
      <c r="C5" s="16">
        <v>0</v>
      </c>
      <c r="D5" s="16">
        <v>0</v>
      </c>
      <c r="E5" s="16">
        <v>0</v>
      </c>
      <c r="F5" s="16">
        <v>0</v>
      </c>
      <c r="G5" s="16">
        <v>0</v>
      </c>
      <c r="H5" s="16">
        <v>0</v>
      </c>
      <c r="I5" s="16">
        <v>0</v>
      </c>
      <c r="J5" s="16">
        <v>0</v>
      </c>
      <c r="K5" s="16">
        <v>0</v>
      </c>
      <c r="L5" s="16">
        <v>2500</v>
      </c>
      <c r="M5" s="16">
        <v>0</v>
      </c>
      <c r="N5" s="140">
        <v>0</v>
      </c>
      <c r="O5" s="16">
        <v>0</v>
      </c>
      <c r="P5" s="16"/>
      <c r="Q5" s="16"/>
      <c r="R5" s="16"/>
      <c r="S5" s="16"/>
      <c r="T5" s="16"/>
      <c r="U5" s="16"/>
      <c r="V5" s="16"/>
    </row>
    <row r="6" spans="1:22" ht="13.5" thickTop="1">
      <c r="A6" s="8"/>
      <c r="B6" s="26" t="s">
        <v>13</v>
      </c>
      <c r="C6" s="16">
        <f>SUBTOTAL(109,VPINRevenues[Budget 10/11])</f>
        <v>0</v>
      </c>
      <c r="D6" s="16">
        <f>SUBTOTAL(109,VPINRevenues[Actual 10/11])</f>
        <v>0</v>
      </c>
      <c r="E6" s="16">
        <f>SUBTOTAL(109,VPINRevenues[Budget 11/12])</f>
        <v>0</v>
      </c>
      <c r="F6" s="16">
        <f>SUBTOTAL(109,VPINRevenues[Actual 11/12])</f>
        <v>0</v>
      </c>
      <c r="G6" s="16">
        <f>SUBTOTAL(109,VPINRevenues[Budget 12/13])</f>
        <v>0</v>
      </c>
      <c r="H6" s="16">
        <f>SUBTOTAL(109,VPINRevenues[Actual 12/13])</f>
        <v>0</v>
      </c>
      <c r="I6" s="16">
        <f>SUBTOTAL(109,VPINRevenues[Budget 13/14])</f>
        <v>0</v>
      </c>
      <c r="J6" s="16">
        <f>SUBTOTAL(109,VPINRevenues[Actual 13/14])</f>
        <v>0</v>
      </c>
      <c r="K6" s="16">
        <f>SUBTOTAL(109,VPINRevenues[Budget 14/15])</f>
        <v>0</v>
      </c>
      <c r="L6" s="16">
        <f>SUBTOTAL(109,VPINRevenues[Actual 14/15])</f>
        <v>2500</v>
      </c>
      <c r="M6" s="16">
        <f>SUBTOTAL(109,VPINRevenues[Budget 15/16])</f>
        <v>0</v>
      </c>
      <c r="N6" s="140">
        <f>SUBTOTAL(109,VPINRevenues[Actual 15/16])</f>
        <v>0</v>
      </c>
      <c r="O6" s="16">
        <f>SUBTOTAL(109,VPINRevenues[Budget 16/17])</f>
        <v>0</v>
      </c>
      <c r="P6" s="185"/>
      <c r="Q6" s="185"/>
      <c r="R6" s="185"/>
      <c r="S6" s="185"/>
      <c r="T6" s="185"/>
      <c r="U6" s="185"/>
      <c r="V6" s="185"/>
    </row>
    <row r="7" spans="1:22">
      <c r="A7" s="8"/>
      <c r="B7" s="8"/>
      <c r="C7" s="50"/>
      <c r="D7" s="50"/>
      <c r="E7" s="50"/>
      <c r="F7" s="50"/>
      <c r="G7" s="50"/>
      <c r="H7" s="50"/>
      <c r="I7" s="50"/>
      <c r="J7" s="50"/>
      <c r="K7" s="50"/>
      <c r="L7" s="50"/>
      <c r="M7" s="50"/>
      <c r="N7" s="140"/>
      <c r="O7" s="16"/>
    </row>
    <row r="8" spans="1:22">
      <c r="A8" s="48" t="s">
        <v>107</v>
      </c>
      <c r="B8" s="8" t="s">
        <v>61</v>
      </c>
      <c r="C8" s="50" t="s">
        <v>48</v>
      </c>
      <c r="D8" s="50" t="s">
        <v>49</v>
      </c>
      <c r="E8" s="50" t="s">
        <v>50</v>
      </c>
      <c r="F8" s="50" t="s">
        <v>51</v>
      </c>
      <c r="G8" s="50" t="s">
        <v>52</v>
      </c>
      <c r="H8" s="50" t="s">
        <v>53</v>
      </c>
      <c r="I8" s="50" t="s">
        <v>54</v>
      </c>
      <c r="J8" s="50" t="s">
        <v>55</v>
      </c>
      <c r="K8" s="50" t="s">
        <v>56</v>
      </c>
      <c r="L8" s="50" t="s">
        <v>104</v>
      </c>
      <c r="M8" s="50" t="s">
        <v>29</v>
      </c>
      <c r="N8" s="175" t="s">
        <v>30</v>
      </c>
      <c r="O8" s="50" t="s">
        <v>31</v>
      </c>
      <c r="P8" s="50" t="s">
        <v>32</v>
      </c>
      <c r="Q8" s="50" t="s">
        <v>33</v>
      </c>
      <c r="R8" s="50" t="s">
        <v>34</v>
      </c>
      <c r="S8" s="50" t="s">
        <v>6</v>
      </c>
      <c r="T8" s="50" t="s">
        <v>7</v>
      </c>
      <c r="U8" s="50" t="s">
        <v>8</v>
      </c>
      <c r="V8" s="50" t="s">
        <v>35</v>
      </c>
    </row>
    <row r="9" spans="1:22">
      <c r="A9" s="48" t="s">
        <v>188</v>
      </c>
      <c r="B9" s="8" t="s">
        <v>63</v>
      </c>
      <c r="C9" s="44">
        <v>45785.18</v>
      </c>
      <c r="D9" s="44">
        <v>45773.84</v>
      </c>
      <c r="E9" s="44">
        <v>46794.6</v>
      </c>
      <c r="F9" s="44">
        <v>46472.08</v>
      </c>
      <c r="G9" s="44">
        <v>47964.47</v>
      </c>
      <c r="H9" s="44">
        <v>48292.28</v>
      </c>
      <c r="I9" s="44">
        <v>49596</v>
      </c>
      <c r="J9" s="44">
        <v>50357.83</v>
      </c>
      <c r="K9" s="44">
        <f>4096.97*12</f>
        <v>49163.64</v>
      </c>
      <c r="L9" s="44">
        <v>48354.77</v>
      </c>
      <c r="M9" s="86">
        <v>46532.4</v>
      </c>
      <c r="N9" s="157">
        <v>48169.27</v>
      </c>
      <c r="O9" s="86">
        <v>47044.26</v>
      </c>
      <c r="P9" s="44">
        <v>47044.26</v>
      </c>
      <c r="Q9" s="44">
        <v>47702.87</v>
      </c>
      <c r="R9" s="44">
        <v>47744.38</v>
      </c>
      <c r="S9" s="44">
        <v>48227.6</v>
      </c>
      <c r="T9" s="44">
        <v>53186.11</v>
      </c>
      <c r="U9" s="44">
        <f>48227.6*1.023</f>
        <v>49336.834799999997</v>
      </c>
      <c r="V9" s="44"/>
    </row>
    <row r="10" spans="1:22">
      <c r="A10" s="208"/>
      <c r="B10" s="8" t="s">
        <v>64</v>
      </c>
      <c r="C10" s="44">
        <v>0</v>
      </c>
      <c r="D10" s="44">
        <v>0</v>
      </c>
      <c r="E10" s="44">
        <v>0</v>
      </c>
      <c r="F10" s="44">
        <v>0</v>
      </c>
      <c r="G10" s="44">
        <v>0</v>
      </c>
      <c r="H10" s="44">
        <v>0</v>
      </c>
      <c r="I10" s="44">
        <v>0</v>
      </c>
      <c r="J10" s="44">
        <v>0</v>
      </c>
      <c r="K10" s="44">
        <v>0</v>
      </c>
      <c r="L10" s="44">
        <v>0</v>
      </c>
      <c r="M10" s="44">
        <v>4466.76</v>
      </c>
      <c r="N10" s="157">
        <v>0</v>
      </c>
      <c r="O10" s="44">
        <v>4515.8900000000003</v>
      </c>
      <c r="P10" s="44">
        <v>4515.8900000000003</v>
      </c>
      <c r="Q10" s="44">
        <v>4579.1099999999997</v>
      </c>
      <c r="R10" s="44">
        <v>4537.6000000000004</v>
      </c>
      <c r="S10" s="44">
        <v>4629.4799999999996</v>
      </c>
      <c r="T10" s="44"/>
      <c r="U10" s="44">
        <f>4629.48*1.023</f>
        <v>4735.9580399999995</v>
      </c>
      <c r="V10" s="44"/>
    </row>
    <row r="11" spans="1:22">
      <c r="A11" s="49" t="s">
        <v>189</v>
      </c>
      <c r="B11" s="8" t="s">
        <v>190</v>
      </c>
      <c r="C11" s="44">
        <v>0</v>
      </c>
      <c r="D11" s="44">
        <v>0</v>
      </c>
      <c r="E11" s="44">
        <v>0</v>
      </c>
      <c r="F11" s="44">
        <v>0</v>
      </c>
      <c r="G11" s="44">
        <v>0</v>
      </c>
      <c r="H11" s="44">
        <v>0</v>
      </c>
      <c r="I11" s="44">
        <v>0</v>
      </c>
      <c r="J11" s="44">
        <v>0</v>
      </c>
      <c r="K11" s="44">
        <v>6300</v>
      </c>
      <c r="L11" s="44">
        <v>792.55</v>
      </c>
      <c r="M11" s="44">
        <v>3900</v>
      </c>
      <c r="N11" s="157">
        <v>1605.27</v>
      </c>
      <c r="O11" s="44">
        <v>5000</v>
      </c>
      <c r="P11" s="44">
        <v>2295.25</v>
      </c>
      <c r="Q11" s="122">
        <v>5000</v>
      </c>
      <c r="R11" s="122"/>
      <c r="S11" s="122">
        <v>5500</v>
      </c>
      <c r="T11" s="122">
        <v>1654.51</v>
      </c>
      <c r="U11" s="122">
        <v>0</v>
      </c>
      <c r="V11" s="122"/>
    </row>
    <row r="12" spans="1:22">
      <c r="A12" s="48" t="s">
        <v>191</v>
      </c>
      <c r="B12" s="8" t="s">
        <v>68</v>
      </c>
      <c r="C12" s="44">
        <v>10000</v>
      </c>
      <c r="D12" s="44">
        <v>11042.52</v>
      </c>
      <c r="E12" s="44">
        <v>24000</v>
      </c>
      <c r="F12" s="44">
        <v>23366.68</v>
      </c>
      <c r="G12" s="44">
        <v>26000</v>
      </c>
      <c r="H12" s="44">
        <v>20284.39</v>
      </c>
      <c r="I12" s="44">
        <v>15000</v>
      </c>
      <c r="J12" s="44">
        <v>19679.599999999999</v>
      </c>
      <c r="K12" s="44">
        <v>21000</v>
      </c>
      <c r="L12" s="44">
        <v>20149.990000000002</v>
      </c>
      <c r="M12" s="44">
        <v>21000</v>
      </c>
      <c r="N12" s="157">
        <v>19598.830000000002</v>
      </c>
      <c r="O12" s="44">
        <v>19000</v>
      </c>
      <c r="P12" s="44">
        <v>23198.19</v>
      </c>
      <c r="Q12" s="122">
        <v>21000</v>
      </c>
      <c r="R12" s="122">
        <v>17960.28</v>
      </c>
      <c r="S12" s="122">
        <v>20000</v>
      </c>
      <c r="T12" s="122">
        <v>17654.509999999998</v>
      </c>
      <c r="U12" s="122">
        <v>18000</v>
      </c>
      <c r="V12" s="122"/>
    </row>
    <row r="13" spans="1:22">
      <c r="A13" s="48" t="s">
        <v>192</v>
      </c>
      <c r="B13" s="8" t="s">
        <v>70</v>
      </c>
      <c r="C13" s="44">
        <v>250</v>
      </c>
      <c r="D13" s="44">
        <v>243.33</v>
      </c>
      <c r="E13" s="44">
        <v>250</v>
      </c>
      <c r="F13" s="44">
        <v>228.68</v>
      </c>
      <c r="G13" s="44">
        <v>250</v>
      </c>
      <c r="H13" s="44">
        <v>227.94</v>
      </c>
      <c r="I13" s="44">
        <v>250</v>
      </c>
      <c r="J13" s="44">
        <v>227.78</v>
      </c>
      <c r="K13" s="44">
        <v>250</v>
      </c>
      <c r="L13" s="44">
        <v>310.61</v>
      </c>
      <c r="M13" s="44">
        <v>250</v>
      </c>
      <c r="N13" s="157">
        <v>227.98</v>
      </c>
      <c r="O13" s="44">
        <v>250</v>
      </c>
      <c r="P13" s="44">
        <v>191.42</v>
      </c>
      <c r="Q13" s="122">
        <v>250</v>
      </c>
      <c r="R13" s="122">
        <v>208.45</v>
      </c>
      <c r="S13" s="122">
        <v>225</v>
      </c>
      <c r="T13" s="122">
        <v>284.72000000000003</v>
      </c>
      <c r="U13" s="122">
        <v>225</v>
      </c>
      <c r="V13" s="122"/>
    </row>
    <row r="14" spans="1:22">
      <c r="A14" s="48" t="s">
        <v>193</v>
      </c>
      <c r="B14" s="8" t="s">
        <v>72</v>
      </c>
      <c r="C14" s="44">
        <v>1150</v>
      </c>
      <c r="D14" s="44">
        <v>877.29</v>
      </c>
      <c r="E14" s="44">
        <v>1150</v>
      </c>
      <c r="F14" s="44">
        <v>1566.08</v>
      </c>
      <c r="G14" s="44">
        <v>1250</v>
      </c>
      <c r="H14" s="44">
        <v>915.25</v>
      </c>
      <c r="I14" s="44">
        <v>840</v>
      </c>
      <c r="J14" s="44">
        <v>782</v>
      </c>
      <c r="K14" s="44">
        <v>930</v>
      </c>
      <c r="L14" s="44">
        <v>500</v>
      </c>
      <c r="M14" s="44">
        <f>67.8*12</f>
        <v>813.59999999999991</v>
      </c>
      <c r="N14" s="157">
        <v>813.6</v>
      </c>
      <c r="O14" s="44">
        <v>813</v>
      </c>
      <c r="P14" s="44">
        <v>813.6</v>
      </c>
      <c r="Q14" s="122">
        <v>813.6</v>
      </c>
      <c r="R14" s="122">
        <v>813.6</v>
      </c>
      <c r="S14" s="122">
        <v>876</v>
      </c>
      <c r="T14" s="122">
        <v>882.6</v>
      </c>
      <c r="U14" s="122"/>
      <c r="V14" s="122"/>
    </row>
    <row r="15" spans="1:22">
      <c r="A15" s="48" t="s">
        <v>194</v>
      </c>
      <c r="B15" s="8" t="s">
        <v>74</v>
      </c>
      <c r="C15" s="44">
        <v>5</v>
      </c>
      <c r="D15" s="44">
        <v>0</v>
      </c>
      <c r="E15" s="44">
        <v>5</v>
      </c>
      <c r="F15" s="44">
        <v>0</v>
      </c>
      <c r="G15" s="44">
        <v>5</v>
      </c>
      <c r="H15" s="44">
        <v>0</v>
      </c>
      <c r="I15" s="44">
        <v>5</v>
      </c>
      <c r="J15" s="44">
        <v>0</v>
      </c>
      <c r="K15" s="44">
        <v>0</v>
      </c>
      <c r="L15" s="44">
        <v>0</v>
      </c>
      <c r="M15" s="44">
        <v>0</v>
      </c>
      <c r="N15" s="157">
        <v>0</v>
      </c>
      <c r="O15" s="44">
        <v>0</v>
      </c>
      <c r="P15" s="44"/>
      <c r="Q15" s="122"/>
      <c r="R15" s="122"/>
      <c r="S15" s="122"/>
      <c r="T15" s="122"/>
      <c r="U15" s="122"/>
      <c r="V15" s="122"/>
    </row>
    <row r="16" spans="1:22">
      <c r="A16" s="48" t="s">
        <v>195</v>
      </c>
      <c r="B16" s="8" t="s">
        <v>77</v>
      </c>
      <c r="C16" s="44">
        <v>250</v>
      </c>
      <c r="D16" s="44">
        <v>312.94</v>
      </c>
      <c r="E16" s="44">
        <v>300</v>
      </c>
      <c r="F16" s="44">
        <v>242.5</v>
      </c>
      <c r="G16" s="44">
        <v>250</v>
      </c>
      <c r="H16" s="44">
        <v>152.69</v>
      </c>
      <c r="I16" s="44">
        <v>150</v>
      </c>
      <c r="J16" s="44">
        <v>117.84</v>
      </c>
      <c r="K16" s="44">
        <v>200</v>
      </c>
      <c r="L16" s="44">
        <v>156.68</v>
      </c>
      <c r="M16" s="44">
        <v>200</v>
      </c>
      <c r="N16" s="157">
        <v>315.97000000000003</v>
      </c>
      <c r="O16" s="44">
        <v>150</v>
      </c>
      <c r="P16" s="44"/>
      <c r="Q16" s="122">
        <v>150</v>
      </c>
      <c r="R16" s="122">
        <v>61.76</v>
      </c>
      <c r="S16" s="122">
        <v>100</v>
      </c>
      <c r="T16" s="122">
        <v>133.47</v>
      </c>
      <c r="U16" s="122">
        <v>100</v>
      </c>
      <c r="V16" s="122"/>
    </row>
    <row r="17" spans="1:23">
      <c r="A17" s="48" t="s">
        <v>196</v>
      </c>
      <c r="B17" s="8" t="s">
        <v>197</v>
      </c>
      <c r="C17" s="44">
        <v>50</v>
      </c>
      <c r="D17" s="44">
        <v>13.66</v>
      </c>
      <c r="E17" s="44">
        <v>25</v>
      </c>
      <c r="F17" s="44">
        <v>0</v>
      </c>
      <c r="G17" s="44">
        <v>25</v>
      </c>
      <c r="H17" s="44">
        <v>243.65</v>
      </c>
      <c r="I17" s="44">
        <v>0</v>
      </c>
      <c r="J17" s="44">
        <v>0</v>
      </c>
      <c r="K17" s="44">
        <v>0</v>
      </c>
      <c r="L17" s="44">
        <v>0</v>
      </c>
      <c r="M17" s="44">
        <v>0</v>
      </c>
      <c r="N17" s="157">
        <v>0</v>
      </c>
      <c r="O17" s="44"/>
      <c r="P17" s="44"/>
      <c r="Q17" s="122"/>
      <c r="R17" s="122">
        <v>9.2799999999999994</v>
      </c>
      <c r="S17" s="122"/>
      <c r="T17" s="122"/>
      <c r="U17" s="122"/>
      <c r="V17" s="122"/>
    </row>
    <row r="18" spans="1:23">
      <c r="A18" s="48" t="s">
        <v>198</v>
      </c>
      <c r="B18" s="8" t="s">
        <v>138</v>
      </c>
      <c r="C18" s="44">
        <v>150</v>
      </c>
      <c r="D18" s="44">
        <v>524.79</v>
      </c>
      <c r="E18" s="44">
        <v>300</v>
      </c>
      <c r="F18" s="44">
        <v>267.69</v>
      </c>
      <c r="G18" s="44">
        <v>1300</v>
      </c>
      <c r="H18" s="44">
        <v>0</v>
      </c>
      <c r="I18" s="44">
        <v>500</v>
      </c>
      <c r="J18" s="44">
        <v>0</v>
      </c>
      <c r="K18" s="44">
        <v>50</v>
      </c>
      <c r="L18" s="44">
        <v>120.12</v>
      </c>
      <c r="M18" s="44">
        <v>100</v>
      </c>
      <c r="N18" s="157">
        <v>75.05</v>
      </c>
      <c r="O18" s="44">
        <v>100</v>
      </c>
      <c r="P18" s="44">
        <v>14.43</v>
      </c>
      <c r="Q18" s="122">
        <v>100</v>
      </c>
      <c r="R18" s="122">
        <v>42.07</v>
      </c>
      <c r="S18" s="122">
        <v>50</v>
      </c>
      <c r="T18" s="122">
        <v>86.27</v>
      </c>
      <c r="U18" s="122">
        <v>50</v>
      </c>
      <c r="V18" s="122"/>
    </row>
    <row r="19" spans="1:23">
      <c r="A19" s="48" t="s">
        <v>199</v>
      </c>
      <c r="B19" s="8" t="s">
        <v>81</v>
      </c>
      <c r="C19" s="44">
        <v>2000</v>
      </c>
      <c r="D19" s="44">
        <v>2814.63</v>
      </c>
      <c r="E19" s="44">
        <v>3000</v>
      </c>
      <c r="F19" s="44">
        <v>1254.32</v>
      </c>
      <c r="G19" s="44">
        <v>1250</v>
      </c>
      <c r="H19" s="44">
        <v>680.77</v>
      </c>
      <c r="I19" s="44">
        <v>1000</v>
      </c>
      <c r="J19" s="44">
        <v>382.7</v>
      </c>
      <c r="K19" s="44">
        <v>950</v>
      </c>
      <c r="L19" s="44">
        <v>1034.3800000000001</v>
      </c>
      <c r="M19" s="44">
        <v>600</v>
      </c>
      <c r="N19" s="157">
        <v>1521.42</v>
      </c>
      <c r="O19" s="44">
        <v>500</v>
      </c>
      <c r="P19" s="44">
        <v>459.2</v>
      </c>
      <c r="Q19" s="122">
        <v>600</v>
      </c>
      <c r="R19" s="122">
        <v>512.19000000000005</v>
      </c>
      <c r="S19" s="122">
        <v>550</v>
      </c>
      <c r="T19" s="122">
        <v>494.74</v>
      </c>
      <c r="U19" s="122">
        <v>550</v>
      </c>
      <c r="V19" s="122"/>
    </row>
    <row r="20" spans="1:23">
      <c r="A20" s="48" t="s">
        <v>200</v>
      </c>
      <c r="B20" s="8" t="s">
        <v>83</v>
      </c>
      <c r="C20" s="44">
        <v>1000</v>
      </c>
      <c r="D20" s="44">
        <v>162.46</v>
      </c>
      <c r="E20" s="44">
        <v>300</v>
      </c>
      <c r="F20" s="44">
        <v>233</v>
      </c>
      <c r="G20" s="44">
        <v>1300</v>
      </c>
      <c r="H20" s="44">
        <v>1687.77</v>
      </c>
      <c r="I20" s="44">
        <v>4000</v>
      </c>
      <c r="J20" s="44">
        <v>2836.14</v>
      </c>
      <c r="K20" s="44">
        <v>750</v>
      </c>
      <c r="L20" s="44">
        <v>1048.33</v>
      </c>
      <c r="M20" s="44">
        <v>700</v>
      </c>
      <c r="N20" s="157">
        <v>845.98</v>
      </c>
      <c r="O20" s="44">
        <v>700</v>
      </c>
      <c r="P20" s="44">
        <v>208.19</v>
      </c>
      <c r="Q20" s="122">
        <v>700</v>
      </c>
      <c r="R20" s="122">
        <v>829.55</v>
      </c>
      <c r="S20" s="122">
        <v>750</v>
      </c>
      <c r="T20" s="122">
        <v>278.8</v>
      </c>
      <c r="U20" s="122">
        <v>750</v>
      </c>
      <c r="V20" s="122"/>
    </row>
    <row r="21" spans="1:23">
      <c r="A21" s="48" t="s">
        <v>201</v>
      </c>
      <c r="B21" s="8" t="s">
        <v>87</v>
      </c>
      <c r="C21" s="44">
        <v>0</v>
      </c>
      <c r="D21" s="44">
        <v>0</v>
      </c>
      <c r="E21" s="44">
        <v>20000</v>
      </c>
      <c r="F21" s="44">
        <v>0</v>
      </c>
      <c r="G21" s="44">
        <v>21000</v>
      </c>
      <c r="H21" s="44">
        <v>0</v>
      </c>
      <c r="I21" s="44">
        <v>0</v>
      </c>
      <c r="J21" s="44">
        <v>0</v>
      </c>
      <c r="K21" s="44">
        <v>0</v>
      </c>
      <c r="L21" s="44">
        <v>0</v>
      </c>
      <c r="M21" s="44">
        <v>0</v>
      </c>
      <c r="N21" s="157">
        <v>0</v>
      </c>
      <c r="O21" s="44">
        <v>0</v>
      </c>
      <c r="P21" s="44">
        <v>1001.29</v>
      </c>
      <c r="Q21" s="122"/>
      <c r="R21" s="122">
        <v>572.28</v>
      </c>
      <c r="S21" s="122"/>
      <c r="T21" s="122">
        <v>190.71</v>
      </c>
      <c r="U21" s="122"/>
      <c r="V21" s="122"/>
    </row>
    <row r="22" spans="1:23">
      <c r="A22" s="48" t="s">
        <v>202</v>
      </c>
      <c r="B22" s="8" t="s">
        <v>89</v>
      </c>
      <c r="C22" s="44">
        <v>1750</v>
      </c>
      <c r="D22" s="44">
        <v>1967.98</v>
      </c>
      <c r="E22" s="44">
        <v>5000</v>
      </c>
      <c r="F22" s="44">
        <v>1991.47</v>
      </c>
      <c r="G22" s="44">
        <v>5000</v>
      </c>
      <c r="H22" s="44">
        <v>2558.46</v>
      </c>
      <c r="I22" s="44">
        <v>0</v>
      </c>
      <c r="J22" s="44">
        <v>2593.96</v>
      </c>
      <c r="K22" s="44">
        <v>0</v>
      </c>
      <c r="L22" s="44">
        <v>11677.95</v>
      </c>
      <c r="M22" s="44">
        <v>0</v>
      </c>
      <c r="N22" s="157">
        <v>9872.7900000000009</v>
      </c>
      <c r="O22" s="44">
        <v>0</v>
      </c>
      <c r="P22" s="44">
        <v>4395.07</v>
      </c>
      <c r="Q22" s="122"/>
      <c r="R22" s="122">
        <v>2613.02</v>
      </c>
      <c r="S22" s="122">
        <v>4250</v>
      </c>
      <c r="T22" s="122">
        <v>8096.24</v>
      </c>
      <c r="U22" s="122"/>
      <c r="V22" s="122"/>
    </row>
    <row r="23" spans="1:23">
      <c r="A23" s="208"/>
      <c r="B23" s="8" t="s">
        <v>203</v>
      </c>
      <c r="C23" s="44">
        <v>0</v>
      </c>
      <c r="D23" s="44">
        <v>0</v>
      </c>
      <c r="E23" s="44">
        <v>0</v>
      </c>
      <c r="F23" s="44">
        <v>0</v>
      </c>
      <c r="G23" s="44">
        <v>0</v>
      </c>
      <c r="H23" s="44">
        <v>0</v>
      </c>
      <c r="I23" s="44">
        <v>1300</v>
      </c>
      <c r="J23" s="44">
        <v>0</v>
      </c>
      <c r="K23" s="44">
        <v>3000</v>
      </c>
      <c r="L23" s="44">
        <v>0</v>
      </c>
      <c r="M23" s="44">
        <v>2500</v>
      </c>
      <c r="N23" s="157">
        <v>0</v>
      </c>
      <c r="O23" s="44">
        <v>2500</v>
      </c>
      <c r="P23" s="44"/>
      <c r="Q23" s="122">
        <v>3000</v>
      </c>
      <c r="R23" s="122"/>
      <c r="S23" s="122">
        <v>2500</v>
      </c>
      <c r="T23" s="122"/>
      <c r="U23" s="122"/>
      <c r="V23" s="122"/>
    </row>
    <row r="24" spans="1:23">
      <c r="A24" s="208"/>
      <c r="B24" s="8" t="s">
        <v>204</v>
      </c>
      <c r="C24" s="44">
        <v>0</v>
      </c>
      <c r="D24" s="44">
        <v>0</v>
      </c>
      <c r="E24" s="44">
        <v>0</v>
      </c>
      <c r="F24" s="44">
        <v>0</v>
      </c>
      <c r="G24" s="44">
        <v>0</v>
      </c>
      <c r="H24" s="44">
        <v>0</v>
      </c>
      <c r="I24" s="44">
        <v>3000</v>
      </c>
      <c r="J24" s="44">
        <v>0</v>
      </c>
      <c r="K24" s="44">
        <v>4000</v>
      </c>
      <c r="L24" s="44">
        <v>0</v>
      </c>
      <c r="M24" s="44">
        <v>1500</v>
      </c>
      <c r="N24" s="157">
        <v>0</v>
      </c>
      <c r="O24" s="44">
        <v>1000</v>
      </c>
      <c r="P24" s="44"/>
      <c r="Q24" s="122">
        <v>1000</v>
      </c>
      <c r="R24" s="122"/>
      <c r="S24" s="122">
        <v>800</v>
      </c>
      <c r="T24" s="122"/>
      <c r="U24" s="122">
        <v>1500</v>
      </c>
      <c r="V24" s="122"/>
    </row>
    <row r="25" spans="1:23">
      <c r="A25" s="208"/>
      <c r="B25" s="222" t="s">
        <v>205</v>
      </c>
      <c r="C25" s="223"/>
      <c r="D25" s="223"/>
      <c r="E25" s="223"/>
      <c r="F25" s="223"/>
      <c r="G25" s="223"/>
      <c r="H25" s="223"/>
      <c r="I25" s="223"/>
      <c r="J25" s="223"/>
      <c r="K25" s="223"/>
      <c r="L25" s="223"/>
      <c r="M25" s="223"/>
      <c r="N25" s="223"/>
      <c r="O25" s="223"/>
      <c r="P25" s="223"/>
      <c r="Q25" s="224"/>
      <c r="R25" s="224"/>
      <c r="S25" s="224"/>
      <c r="T25" s="224"/>
      <c r="U25" s="224">
        <v>800</v>
      </c>
      <c r="V25" s="224"/>
    </row>
    <row r="26" spans="1:23">
      <c r="A26" s="209"/>
      <c r="B26" s="8" t="s">
        <v>206</v>
      </c>
      <c r="C26" s="44">
        <v>0</v>
      </c>
      <c r="D26" s="44">
        <v>0</v>
      </c>
      <c r="E26" s="44">
        <v>0</v>
      </c>
      <c r="F26" s="44">
        <v>0</v>
      </c>
      <c r="G26" s="44">
        <v>0</v>
      </c>
      <c r="H26" s="44">
        <v>0</v>
      </c>
      <c r="I26" s="44">
        <v>675</v>
      </c>
      <c r="J26" s="44">
        <v>0</v>
      </c>
      <c r="K26" s="44">
        <v>1500</v>
      </c>
      <c r="L26" s="44">
        <v>0</v>
      </c>
      <c r="M26" s="44">
        <v>1500</v>
      </c>
      <c r="N26" s="157">
        <v>0</v>
      </c>
      <c r="O26" s="44">
        <v>1500</v>
      </c>
      <c r="P26" s="44"/>
      <c r="Q26" s="122">
        <v>1500</v>
      </c>
      <c r="R26" s="122"/>
      <c r="S26" s="122">
        <v>950</v>
      </c>
      <c r="T26" s="122"/>
      <c r="U26" s="122"/>
      <c r="V26" s="122"/>
      <c r="W26" s="12"/>
    </row>
    <row r="27" spans="1:23" ht="13.5" thickBot="1">
      <c r="A27" s="48" t="s">
        <v>202</v>
      </c>
      <c r="B27" s="8" t="s">
        <v>207</v>
      </c>
      <c r="C27" s="44"/>
      <c r="D27" s="44"/>
      <c r="E27" s="44"/>
      <c r="F27" s="44"/>
      <c r="G27" s="44"/>
      <c r="H27" s="44"/>
      <c r="I27" s="44"/>
      <c r="J27" s="44"/>
      <c r="K27" s="44"/>
      <c r="L27" s="44"/>
      <c r="M27" s="44"/>
      <c r="N27" s="44"/>
      <c r="O27" s="44"/>
      <c r="P27" s="44"/>
      <c r="Q27" s="122"/>
      <c r="R27" s="122"/>
      <c r="S27" s="122"/>
      <c r="T27" s="122"/>
      <c r="U27" s="122">
        <v>3000</v>
      </c>
      <c r="V27" s="122"/>
    </row>
    <row r="28" spans="1:23" ht="13.5" hidden="1" thickBot="1">
      <c r="A28" s="48" t="s">
        <v>202</v>
      </c>
      <c r="B28" s="55" t="s">
        <v>208</v>
      </c>
      <c r="C28" s="44">
        <v>30000</v>
      </c>
      <c r="D28" s="47">
        <v>7753.71</v>
      </c>
      <c r="E28" s="45">
        <v>20000</v>
      </c>
      <c r="F28" s="44">
        <v>10061</v>
      </c>
      <c r="G28" s="45">
        <v>16000</v>
      </c>
      <c r="H28" s="47">
        <v>10783.99</v>
      </c>
      <c r="I28" s="45">
        <v>11000</v>
      </c>
      <c r="J28" s="44">
        <v>4851.42</v>
      </c>
      <c r="K28" s="44">
        <v>7000</v>
      </c>
      <c r="L28" s="44">
        <v>1985.65</v>
      </c>
      <c r="M28" s="44">
        <v>6000</v>
      </c>
      <c r="N28" s="157">
        <v>1663.48</v>
      </c>
      <c r="O28" s="121">
        <v>5000</v>
      </c>
      <c r="P28" s="465">
        <v>5000</v>
      </c>
      <c r="Q28" s="122">
        <v>5000</v>
      </c>
      <c r="R28" s="196" t="s">
        <v>43</v>
      </c>
      <c r="S28" s="122"/>
      <c r="T28" s="122"/>
      <c r="U28" s="122"/>
      <c r="V28" s="122"/>
    </row>
    <row r="29" spans="1:23" ht="13.5" thickBot="1">
      <c r="A29" s="48" t="s">
        <v>202</v>
      </c>
      <c r="B29" s="8" t="s">
        <v>96</v>
      </c>
      <c r="C29" s="58">
        <v>250</v>
      </c>
      <c r="D29" s="44">
        <v>228.26</v>
      </c>
      <c r="E29" s="44">
        <v>250</v>
      </c>
      <c r="F29" s="54">
        <v>201.79</v>
      </c>
      <c r="G29" s="44">
        <v>250</v>
      </c>
      <c r="H29" s="44">
        <v>128.69999999999999</v>
      </c>
      <c r="I29" s="57">
        <v>250</v>
      </c>
      <c r="J29" s="54">
        <v>201.9</v>
      </c>
      <c r="K29" s="57">
        <v>200</v>
      </c>
      <c r="L29" s="53">
        <v>157.88999999999999</v>
      </c>
      <c r="M29" s="56">
        <v>100</v>
      </c>
      <c r="N29" s="173">
        <v>0</v>
      </c>
      <c r="O29" s="120">
        <v>200</v>
      </c>
      <c r="P29" s="44"/>
      <c r="Q29" s="122">
        <v>200</v>
      </c>
      <c r="R29" s="196"/>
      <c r="S29" s="122">
        <v>50</v>
      </c>
      <c r="T29" s="122">
        <v>33.9</v>
      </c>
      <c r="U29" s="122">
        <v>50</v>
      </c>
      <c r="V29" s="122"/>
    </row>
    <row r="30" spans="1:23" ht="13.5" thickBot="1">
      <c r="A30" s="48" t="s">
        <v>202</v>
      </c>
      <c r="B30" s="52" t="s">
        <v>125</v>
      </c>
      <c r="C30" s="57">
        <v>300</v>
      </c>
      <c r="D30" s="54">
        <v>500</v>
      </c>
      <c r="E30" s="57">
        <v>500</v>
      </c>
      <c r="F30" s="44">
        <v>1000</v>
      </c>
      <c r="G30" s="57">
        <v>1000</v>
      </c>
      <c r="H30" s="53">
        <v>1000</v>
      </c>
      <c r="I30" s="57">
        <v>1000</v>
      </c>
      <c r="J30" s="54">
        <v>0</v>
      </c>
      <c r="K30" s="57">
        <v>1000</v>
      </c>
      <c r="L30" s="54">
        <v>0</v>
      </c>
      <c r="M30" s="57">
        <v>1000</v>
      </c>
      <c r="N30" s="174">
        <v>0</v>
      </c>
      <c r="O30" s="44">
        <v>1085.5999999999999</v>
      </c>
      <c r="P30" s="44">
        <v>1085.5999999999999</v>
      </c>
      <c r="Q30" s="122">
        <v>1085.5999999999999</v>
      </c>
      <c r="R30" s="122">
        <v>1085.5999999999999</v>
      </c>
      <c r="S30" s="122">
        <v>1085.5999999999999</v>
      </c>
      <c r="T30" s="122">
        <v>1100</v>
      </c>
      <c r="U30" s="122">
        <f>1085.6/2</f>
        <v>542.79999999999995</v>
      </c>
      <c r="V30" s="122"/>
    </row>
    <row r="31" spans="1:23">
      <c r="A31" s="48" t="s">
        <v>202</v>
      </c>
      <c r="B31" s="46" t="s">
        <v>209</v>
      </c>
      <c r="C31" s="44">
        <v>0</v>
      </c>
      <c r="D31" s="44">
        <v>-940</v>
      </c>
      <c r="E31" s="44">
        <v>0</v>
      </c>
      <c r="F31" s="53">
        <v>0</v>
      </c>
      <c r="G31" s="44">
        <v>0</v>
      </c>
      <c r="H31" s="53">
        <v>0</v>
      </c>
      <c r="I31" s="44">
        <v>0</v>
      </c>
      <c r="J31" s="44">
        <v>0</v>
      </c>
      <c r="K31" s="44">
        <v>0</v>
      </c>
      <c r="L31" s="59">
        <v>0</v>
      </c>
      <c r="M31" s="44">
        <v>0</v>
      </c>
      <c r="N31" s="157">
        <v>0</v>
      </c>
      <c r="O31" s="119">
        <v>0</v>
      </c>
      <c r="P31" s="44"/>
      <c r="Q31" s="122"/>
      <c r="R31" s="122"/>
      <c r="S31" s="122"/>
      <c r="T31" s="122"/>
      <c r="U31" s="122"/>
      <c r="V31" s="122"/>
    </row>
    <row r="32" spans="1:23" hidden="1">
      <c r="A32" s="48" t="s">
        <v>202</v>
      </c>
      <c r="B32" s="8" t="s">
        <v>210</v>
      </c>
      <c r="C32" s="44">
        <v>0</v>
      </c>
      <c r="D32" s="44">
        <v>532.92999999999995</v>
      </c>
      <c r="E32" s="44">
        <v>0</v>
      </c>
      <c r="F32" s="44">
        <v>0</v>
      </c>
      <c r="G32" s="44">
        <v>0</v>
      </c>
      <c r="H32" s="44">
        <v>0</v>
      </c>
      <c r="I32" s="44">
        <v>0</v>
      </c>
      <c r="J32" s="44">
        <v>0</v>
      </c>
      <c r="K32" s="44">
        <v>0</v>
      </c>
      <c r="L32" s="44">
        <v>0</v>
      </c>
      <c r="M32" s="44">
        <v>0</v>
      </c>
      <c r="N32" s="157">
        <v>0</v>
      </c>
      <c r="O32" s="44">
        <v>0</v>
      </c>
      <c r="P32" s="44"/>
      <c r="Q32" s="122"/>
      <c r="R32" s="122"/>
      <c r="S32" s="122"/>
      <c r="T32" s="122"/>
      <c r="U32" s="122"/>
      <c r="V32" s="122"/>
    </row>
    <row r="33" spans="1:22">
      <c r="A33" s="8"/>
      <c r="B33" s="8" t="s">
        <v>13</v>
      </c>
      <c r="C33" s="16">
        <f>SUBTOTAL(109,VPINExpenses[Budget 10/11])</f>
        <v>62940.18</v>
      </c>
      <c r="D33" s="16">
        <f>SUBTOTAL(109,VPINExpenses[Actual 10/11])</f>
        <v>63521.700000000012</v>
      </c>
      <c r="E33" s="16">
        <f>SUBTOTAL(109,VPINExpenses[Budget 11/12])</f>
        <v>101874.6</v>
      </c>
      <c r="F33" s="16">
        <f>SUBTOTAL(109,VPINExpenses[Actual 11/12])</f>
        <v>76824.290000000008</v>
      </c>
      <c r="G33" s="16">
        <f>SUBTOTAL(109,VPINExpenses[Budget 12/13])</f>
        <v>106844.47</v>
      </c>
      <c r="H33" s="16">
        <f>SUBTOTAL(109,VPINExpenses[Actual 12/13])</f>
        <v>76171.900000000009</v>
      </c>
      <c r="I33" s="16">
        <f>SUBTOTAL(109,VPINExpenses[Budget 13/14])</f>
        <v>77566</v>
      </c>
      <c r="J33" s="16">
        <f>SUBTOTAL(109,VPINExpenses[Actual 13/14])</f>
        <v>77179.749999999985</v>
      </c>
      <c r="K33" s="16">
        <f>SUBTOTAL(109,VPINExpenses[Budget 14/15])</f>
        <v>89293.64</v>
      </c>
      <c r="L33" s="16">
        <f>SUBTOTAL(109,VPINExpenses[Actual 14/15])</f>
        <v>84303.26999999999</v>
      </c>
      <c r="M33" s="16">
        <f>SUBTOTAL(109,VPINExpenses[Budget 15/16])</f>
        <v>85162.760000000009</v>
      </c>
      <c r="N33" s="140">
        <f>SUBTOTAL(109,VPINExpenses[Actual 15/16])</f>
        <v>83046.16</v>
      </c>
      <c r="O33" s="16">
        <f>SUBTOTAL(109,VPINExpenses[Budget 16/17])</f>
        <v>84358.75</v>
      </c>
      <c r="P33" s="16">
        <f>SUBTOTAL(109,VPINExpenses[Actual 16/17])</f>
        <v>85222.389999999985</v>
      </c>
      <c r="Q33" s="16">
        <f>SUBTOTAL(109,VPINExpenses[Budget 17/18])</f>
        <v>87681.180000000022</v>
      </c>
      <c r="R33" s="20">
        <f>SUM(VPINExpenses[Actual 17/18])</f>
        <v>76990.060000000012</v>
      </c>
      <c r="S33" s="16">
        <f>SUM(VPINExpenses[Budget 18/19]) - S22</f>
        <v>86293.680000000008</v>
      </c>
      <c r="T33" s="16">
        <f>SUM(VPINExpenses[Actual 18/19]) - T22</f>
        <v>75980.340000000026</v>
      </c>
      <c r="U33" s="20">
        <f>SUM(VPINExpenses[Budget 19/20])</f>
        <v>79640.592839999998</v>
      </c>
      <c r="V33" s="20"/>
    </row>
    <row r="34" spans="1:22" s="8" customFormat="1" ht="13.5" thickBot="1">
      <c r="C34" s="11"/>
      <c r="D34" s="11"/>
      <c r="E34" s="11"/>
      <c r="F34" s="11"/>
      <c r="G34" s="11"/>
      <c r="H34" s="11"/>
      <c r="I34" s="11"/>
      <c r="J34" s="11"/>
      <c r="K34" s="11"/>
      <c r="L34" s="11"/>
      <c r="M34" s="11"/>
      <c r="N34" s="138"/>
      <c r="P34" s="10"/>
    </row>
    <row r="35" spans="1:22" ht="19.5" thickBot="1">
      <c r="A35" s="8"/>
      <c r="B35" s="452" t="s">
        <v>102</v>
      </c>
      <c r="C35" s="27">
        <f>VPINRevenues[[#Totals],[Budget 10/11]]-VPINExpenses[[#Totals],[Budget 10/11]]</f>
        <v>-62940.18</v>
      </c>
      <c r="D35" s="27">
        <f>VPINRevenues[[#Totals],[Actual 10/11]]-VPINExpenses[[#Totals],[Actual 10/11]]</f>
        <v>-63521.700000000012</v>
      </c>
      <c r="E35" s="27">
        <f>VPINRevenues[[#Totals],[Budget 11/12]]-VPINExpenses[[#Totals],[Budget 11/12]]</f>
        <v>-101874.6</v>
      </c>
      <c r="F35" s="27">
        <f>VPINRevenues[[#Totals],[Actual 11/12]]-VPINExpenses[[#Totals],[Actual 11/12]]</f>
        <v>-76824.290000000008</v>
      </c>
      <c r="G35" s="27">
        <f>VPINRevenues[[#Totals],[Budget 12/13]]-VPINExpenses[[#Totals],[Budget 12/13]]</f>
        <v>-106844.47</v>
      </c>
      <c r="H35" s="27">
        <f>VPINRevenues[[#Totals],[Actual 12/13]]-VPINExpenses[[#Totals],[Actual 12/13]]</f>
        <v>-76171.900000000009</v>
      </c>
      <c r="I35" s="27">
        <f>VPINRevenues[[#Totals],[Budget 13/14]]-VPINExpenses[[#Totals],[Budget 13/14]]</f>
        <v>-77566</v>
      </c>
      <c r="J35" s="27">
        <f>VPINRevenues[[#Totals],[Actual 13/14]]-VPINExpenses[[#Totals],[Actual 13/14]]</f>
        <v>-77179.749999999985</v>
      </c>
      <c r="K35" s="27">
        <f>VPINRevenues[[#Totals],[Budget 14/15]]-VPINExpenses[[#Totals],[Budget 14/15]]</f>
        <v>-89293.64</v>
      </c>
      <c r="L35" s="27">
        <f>VPINRevenues[[#Totals],[Actual 14/15]]-VPINExpenses[[#Totals],[Actual 14/15]]</f>
        <v>-81803.26999999999</v>
      </c>
      <c r="M35" s="27">
        <f>VPINRevenues[[#Totals],[Budget 15/16]]-VPINExpenses[[#Totals],[Budget 15/16]]</f>
        <v>-85162.760000000009</v>
      </c>
      <c r="N35" s="27">
        <f>VPINRevenues[[#Totals],[Actual 15/16]]-VPINExpenses[[#Totals],[Actual 15/16]]</f>
        <v>-83046.16</v>
      </c>
      <c r="O35" s="27">
        <f>VPINRevenues[[#Totals],[Budget 16/17]]-VPINExpenses[[#Totals],[Budget 16/17]]</f>
        <v>-84358.75</v>
      </c>
      <c r="P35" s="27">
        <f>VPINRevenues[[#Totals],[Actual 16/17]]-VPINExpenses[[#Totals],[Actual 16/17]]</f>
        <v>-85222.389999999985</v>
      </c>
      <c r="Q35" s="27">
        <f>VPINRevenues[[#Totals],[Budget 17/18]]-VPINExpenses[[#Totals],[Budget 17/18]]</f>
        <v>-87681.180000000022</v>
      </c>
      <c r="R35" s="27">
        <f>VPINRevenues[[#Totals],[Actual 17/18]]-VPINExpenses[[#Totals],[Actual 17/18]]</f>
        <v>-76990.060000000012</v>
      </c>
      <c r="S35" s="27">
        <f>VPINRevenues[[#Totals],[Budget 18/19]]-VPINExpenses[[#Totals],[Budget 18/19]]</f>
        <v>-86293.680000000008</v>
      </c>
      <c r="T35" s="27">
        <f>VPINRevenues[[#Totals],[Actual 18/19]]-VPINExpenses[[#Totals],[Actual 18/19]]</f>
        <v>-75980.340000000026</v>
      </c>
      <c r="U35" s="27">
        <f>VPINRevenues[[#Totals],[Budget 19/20]]-VPINExpenses[[#Totals],[Budget 19/20]]</f>
        <v>-79640.592839999998</v>
      </c>
      <c r="V35" s="27"/>
    </row>
    <row r="36" spans="1:22">
      <c r="A36" s="8"/>
      <c r="B36" s="8"/>
      <c r="C36" s="8"/>
      <c r="D36" s="8"/>
      <c r="E36" s="8"/>
      <c r="F36" s="8"/>
      <c r="G36" s="8"/>
      <c r="H36" s="8"/>
      <c r="I36" s="8"/>
      <c r="J36" s="8"/>
      <c r="K36" s="8"/>
      <c r="L36" s="8"/>
      <c r="M36" s="8"/>
      <c r="N36" s="138"/>
      <c r="O36" s="8"/>
    </row>
    <row r="37" spans="1:22">
      <c r="A37" s="8"/>
      <c r="B37" s="8"/>
      <c r="C37" s="8"/>
      <c r="M37" s="8"/>
      <c r="N37" s="138"/>
      <c r="O37" s="8"/>
    </row>
    <row r="38" spans="1:22">
      <c r="A38" s="8"/>
      <c r="B38" s="8"/>
      <c r="C38" s="8"/>
      <c r="M38" s="8"/>
      <c r="N38" s="138"/>
      <c r="O38" s="8"/>
    </row>
    <row r="39" spans="1:22">
      <c r="B39" s="8"/>
      <c r="C39" s="8"/>
      <c r="M39" s="8"/>
      <c r="N39" s="138"/>
      <c r="O39" s="8"/>
    </row>
  </sheetData>
  <customSheetViews>
    <customSheetView guid="{DC934874-AE9C-4DF4-8DA8-4394DABABB42}" showRuler="0">
      <selection activeCell="H20" sqref="H20"/>
      <pageMargins left="0" right="0" top="0" bottom="0" header="0" footer="0"/>
      <pageSetup orientation="portrait"/>
      <headerFooter alignWithMargins="0"/>
    </customSheetView>
    <customSheetView guid="{7FD89B2E-4983-4B8D-ABA2-A07F685A0C6E}" showRuler="0" topLeftCell="A4">
      <selection activeCell="G9" sqref="G9"/>
      <pageMargins left="0" right="0" top="0" bottom="0" header="0" footer="0"/>
      <pageSetup orientation="portrait"/>
      <headerFooter alignWithMargins="0"/>
    </customSheetView>
    <customSheetView guid="{84D8AC11-A493-4338-8044-6F4154C29695}" showRuler="0" topLeftCell="A7">
      <selection activeCell="G16" sqref="G16"/>
      <pageMargins left="0" right="0" top="0" bottom="0" header="0" footer="0"/>
      <pageSetup orientation="portrait"/>
      <headerFooter alignWithMargins="0"/>
    </customSheetView>
    <customSheetView guid="{BB157E55-0A2E-4D9F-A3BF-E83E5442FC27}" showPageBreaks="1" showRuler="0" topLeftCell="A7">
      <selection activeCell="G21" sqref="G21"/>
      <pageMargins left="0" right="0" top="0" bottom="0" header="0" footer="0"/>
      <pageSetup orientation="portrait"/>
      <headerFooter alignWithMargins="0"/>
    </customSheetView>
  </customSheetViews>
  <mergeCells count="1">
    <mergeCell ref="A1:B1"/>
  </mergeCells>
  <phoneticPr fontId="0" type="noConversion"/>
  <pageMargins left="0" right="0" top="0.98425196850393704" bottom="0.98425196850393704" header="0.51181102362204722" footer="0.51181102362204722"/>
  <pageSetup paperSize="5" orientation="landscape" r:id="rId1"/>
  <headerFooter alignWithMargins="0"/>
  <legacyDrawing r:id="rId2"/>
  <tableParts count="2">
    <tablePart r:id="rId3"/>
    <tablePart r:id="rId4"/>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pageSetUpPr fitToPage="1"/>
  </sheetPr>
  <dimension ref="A1:V61"/>
  <sheetViews>
    <sheetView showGridLines="0" zoomScaleNormal="100" workbookViewId="0">
      <selection activeCell="R37" sqref="R37"/>
    </sheetView>
  </sheetViews>
  <sheetFormatPr defaultColWidth="11.42578125" defaultRowHeight="12.75"/>
  <cols>
    <col min="1" max="1" width="15" style="274" customWidth="1"/>
    <col min="2" max="2" width="19.85546875" style="274" customWidth="1"/>
    <col min="3" max="13" width="16.85546875" style="274" hidden="1" customWidth="1"/>
    <col min="14" max="14" width="16" style="275" hidden="1" customWidth="1"/>
    <col min="15" max="15" width="16" style="274" hidden="1" customWidth="1"/>
    <col min="16" max="16" width="17.28515625" style="274" hidden="1" customWidth="1"/>
    <col min="17" max="17" width="15.7109375" style="274" customWidth="1"/>
    <col min="18" max="18" width="18.42578125" style="274" customWidth="1"/>
    <col min="19" max="20" width="14.5703125" style="274" bestFit="1" customWidth="1"/>
    <col min="21" max="21" width="16" style="274" bestFit="1" customWidth="1"/>
    <col min="22" max="16384" width="11.42578125" style="274"/>
  </cols>
  <sheetData>
    <row r="1" spans="1:22" ht="18">
      <c r="A1" s="537" t="s">
        <v>211</v>
      </c>
      <c r="B1" s="537"/>
      <c r="C1" s="283"/>
      <c r="D1" s="283"/>
      <c r="E1" s="283"/>
      <c r="F1" s="283"/>
      <c r="G1" s="283"/>
      <c r="H1" s="283"/>
      <c r="I1" s="283"/>
      <c r="J1" s="283"/>
      <c r="K1" s="283"/>
      <c r="L1" s="283"/>
      <c r="M1" s="283"/>
    </row>
    <row r="2" spans="1:22">
      <c r="A2" s="298" t="s">
        <v>186</v>
      </c>
      <c r="B2" s="285"/>
      <c r="C2" s="283"/>
      <c r="D2" s="283"/>
      <c r="E2" s="283"/>
      <c r="F2" s="283"/>
      <c r="G2" s="283"/>
      <c r="H2" s="283"/>
      <c r="I2" s="283"/>
      <c r="J2" s="283"/>
      <c r="K2" s="283"/>
      <c r="L2" s="283"/>
      <c r="M2" s="283"/>
    </row>
    <row r="3" spans="1:22">
      <c r="A3" s="283"/>
      <c r="B3" s="283"/>
      <c r="C3" s="283"/>
      <c r="D3" s="283"/>
      <c r="E3" s="283"/>
      <c r="F3" s="283"/>
      <c r="G3" s="283"/>
      <c r="H3" s="283"/>
      <c r="I3" s="283"/>
      <c r="J3" s="283"/>
      <c r="K3" s="283"/>
      <c r="L3" s="283"/>
      <c r="M3" s="283"/>
    </row>
    <row r="4" spans="1:22">
      <c r="A4" s="283"/>
      <c r="B4" s="285" t="s">
        <v>47</v>
      </c>
      <c r="C4" s="296" t="s">
        <v>48</v>
      </c>
      <c r="D4" s="296" t="s">
        <v>49</v>
      </c>
      <c r="E4" s="296" t="s">
        <v>50</v>
      </c>
      <c r="F4" s="296" t="s">
        <v>51</v>
      </c>
      <c r="G4" s="296" t="s">
        <v>52</v>
      </c>
      <c r="H4" s="296" t="s">
        <v>53</v>
      </c>
      <c r="I4" s="296" t="s">
        <v>54</v>
      </c>
      <c r="J4" s="296" t="s">
        <v>55</v>
      </c>
      <c r="K4" s="296" t="s">
        <v>56</v>
      </c>
      <c r="L4" s="296" t="s">
        <v>57</v>
      </c>
      <c r="M4" s="296" t="s">
        <v>29</v>
      </c>
      <c r="N4" s="297" t="s">
        <v>58</v>
      </c>
      <c r="O4" s="296" t="s">
        <v>31</v>
      </c>
      <c r="P4" s="296" t="s">
        <v>32</v>
      </c>
      <c r="Q4" s="296" t="s">
        <v>33</v>
      </c>
      <c r="R4" s="296" t="s">
        <v>34</v>
      </c>
      <c r="S4" s="296" t="s">
        <v>6</v>
      </c>
      <c r="T4" s="296" t="s">
        <v>7</v>
      </c>
      <c r="U4" s="296" t="s">
        <v>8</v>
      </c>
      <c r="V4" s="296" t="s">
        <v>35</v>
      </c>
    </row>
    <row r="5" spans="1:22">
      <c r="A5" s="283"/>
      <c r="B5" s="285"/>
      <c r="C5" s="294">
        <v>0</v>
      </c>
      <c r="D5" s="294">
        <v>0</v>
      </c>
      <c r="E5" s="294">
        <v>0</v>
      </c>
      <c r="F5" s="294">
        <v>0</v>
      </c>
      <c r="G5" s="294">
        <v>0</v>
      </c>
      <c r="H5" s="294">
        <v>0</v>
      </c>
      <c r="I5" s="294">
        <v>0</v>
      </c>
      <c r="J5" s="294">
        <v>0</v>
      </c>
      <c r="K5" s="294">
        <v>0</v>
      </c>
      <c r="L5" s="294">
        <v>0</v>
      </c>
      <c r="M5" s="294">
        <v>0</v>
      </c>
      <c r="N5" s="295">
        <v>0</v>
      </c>
      <c r="O5" s="294">
        <v>0</v>
      </c>
      <c r="P5" s="294"/>
      <c r="Q5" s="294"/>
      <c r="R5" s="294"/>
      <c r="S5" s="294"/>
      <c r="T5" s="294"/>
      <c r="U5" s="294"/>
      <c r="V5" s="294"/>
    </row>
    <row r="6" spans="1:22">
      <c r="A6" s="283"/>
      <c r="B6" s="285" t="s">
        <v>13</v>
      </c>
      <c r="C6" s="294">
        <f>SUBTOTAL(109,OrientationRevenues64[Budget 10/11])</f>
        <v>0</v>
      </c>
      <c r="D6" s="294">
        <f>SUBTOTAL(109,OrientationRevenues64[Actual 10/11])</f>
        <v>0</v>
      </c>
      <c r="E6" s="294">
        <f>SUBTOTAL(109,OrientationRevenues64[Budget 11/12])</f>
        <v>0</v>
      </c>
      <c r="F6" s="294">
        <f>SUBTOTAL(109,OrientationRevenues64[Actual 11/12])</f>
        <v>0</v>
      </c>
      <c r="G6" s="294">
        <f>SUBTOTAL(109,OrientationRevenues64[Budget 12/13])</f>
        <v>0</v>
      </c>
      <c r="H6" s="294">
        <f>SUBTOTAL(109,OrientationRevenues64[Actual 12/13])</f>
        <v>0</v>
      </c>
      <c r="I6" s="294">
        <f>SUBTOTAL(109,OrientationRevenues64[Budget 13/14])</f>
        <v>0</v>
      </c>
      <c r="J6" s="294">
        <f>SUBTOTAL(109,OrientationRevenues64[Actual 13/14])</f>
        <v>0</v>
      </c>
      <c r="K6" s="294">
        <f>SUBTOTAL(109,OrientationRevenues64[Budget 14/15])</f>
        <v>0</v>
      </c>
      <c r="L6" s="294">
        <f>SUBTOTAL(109,OrientationRevenues64[Actuals 14/15])</f>
        <v>0</v>
      </c>
      <c r="M6" s="294">
        <f>SUBTOTAL(109,OrientationRevenues64[Budget 15/16])</f>
        <v>0</v>
      </c>
      <c r="N6" s="295">
        <f>SUBTOTAL(109,OrientationRevenues64[Actuals 15/16])</f>
        <v>0</v>
      </c>
      <c r="O6" s="294">
        <f>SUBTOTAL(109,OrientationRevenues64[Budget 16/17])</f>
        <v>0</v>
      </c>
      <c r="P6" s="285"/>
      <c r="Q6" s="285"/>
      <c r="R6" s="285">
        <f>SUBTOTAL(109,OrientationRevenues64[Actual 17/18])</f>
        <v>0</v>
      </c>
      <c r="S6" s="285">
        <f>SUBTOTAL(109,OrientationRevenues64[Revenues])</f>
        <v>0</v>
      </c>
      <c r="T6" s="8"/>
      <c r="U6" s="285">
        <f>SUBTOTAL(109,OrientationRevenues64[Budget 10/11])</f>
        <v>0</v>
      </c>
      <c r="V6" s="285"/>
    </row>
    <row r="7" spans="1:22">
      <c r="B7" s="288"/>
      <c r="C7" s="292"/>
      <c r="D7" s="292"/>
      <c r="E7" s="292"/>
      <c r="F7" s="292"/>
      <c r="G7" s="292"/>
      <c r="H7" s="292"/>
      <c r="I7" s="292"/>
      <c r="J7" s="292"/>
      <c r="K7" s="292"/>
      <c r="L7" s="292"/>
      <c r="M7" s="292"/>
    </row>
    <row r="8" spans="1:22">
      <c r="A8" s="291" t="s">
        <v>107</v>
      </c>
      <c r="B8" s="285" t="s">
        <v>61</v>
      </c>
      <c r="C8" s="285" t="s">
        <v>48</v>
      </c>
      <c r="D8" s="285" t="s">
        <v>49</v>
      </c>
      <c r="E8" s="285" t="s">
        <v>50</v>
      </c>
      <c r="F8" s="285" t="s">
        <v>51</v>
      </c>
      <c r="G8" s="285" t="s">
        <v>52</v>
      </c>
      <c r="H8" s="285" t="s">
        <v>53</v>
      </c>
      <c r="I8" s="285" t="s">
        <v>54</v>
      </c>
      <c r="J8" s="285" t="s">
        <v>55</v>
      </c>
      <c r="K8" s="285" t="s">
        <v>56</v>
      </c>
      <c r="L8" s="285" t="s">
        <v>57</v>
      </c>
      <c r="M8" s="285" t="s">
        <v>29</v>
      </c>
      <c r="N8" s="293" t="s">
        <v>58</v>
      </c>
      <c r="O8" s="285" t="s">
        <v>31</v>
      </c>
      <c r="P8" s="285" t="s">
        <v>32</v>
      </c>
      <c r="Q8" s="285" t="s">
        <v>33</v>
      </c>
      <c r="R8" s="285" t="s">
        <v>34</v>
      </c>
      <c r="S8" s="285" t="s">
        <v>6</v>
      </c>
      <c r="T8" s="285" t="s">
        <v>7</v>
      </c>
      <c r="U8" s="285" t="s">
        <v>8</v>
      </c>
      <c r="V8" s="285" t="s">
        <v>35</v>
      </c>
    </row>
    <row r="9" spans="1:22">
      <c r="A9" s="291" t="s">
        <v>212</v>
      </c>
      <c r="B9" s="283" t="s">
        <v>68</v>
      </c>
      <c r="C9" s="292">
        <v>0</v>
      </c>
      <c r="D9" s="292">
        <v>10.69</v>
      </c>
      <c r="E9" s="292">
        <v>0</v>
      </c>
      <c r="F9" s="292">
        <v>0</v>
      </c>
      <c r="G9" s="292">
        <v>0</v>
      </c>
      <c r="H9" s="292">
        <v>0</v>
      </c>
      <c r="I9" s="292">
        <v>0</v>
      </c>
      <c r="J9" s="292">
        <v>0</v>
      </c>
      <c r="K9" s="292">
        <v>0</v>
      </c>
      <c r="L9" s="292">
        <v>28.72</v>
      </c>
      <c r="M9" s="292">
        <v>0</v>
      </c>
      <c r="N9" s="290">
        <v>0</v>
      </c>
      <c r="O9" s="289">
        <v>1350</v>
      </c>
      <c r="P9" s="289">
        <v>1820.5</v>
      </c>
      <c r="Q9" s="289">
        <v>1750</v>
      </c>
      <c r="R9" s="289">
        <v>1034.51</v>
      </c>
      <c r="S9" s="289">
        <v>1350</v>
      </c>
      <c r="T9" s="289">
        <v>668.27</v>
      </c>
      <c r="U9" s="289">
        <v>1350</v>
      </c>
      <c r="V9" s="289"/>
    </row>
    <row r="10" spans="1:22">
      <c r="A10" s="291"/>
      <c r="B10" s="283" t="s">
        <v>70</v>
      </c>
      <c r="C10" s="287">
        <v>900</v>
      </c>
      <c r="D10" s="287">
        <v>1113.7</v>
      </c>
      <c r="E10" s="287">
        <v>1100</v>
      </c>
      <c r="F10" s="287">
        <v>1101.44</v>
      </c>
      <c r="G10" s="287">
        <v>1100</v>
      </c>
      <c r="H10" s="287">
        <v>829.51</v>
      </c>
      <c r="I10" s="287">
        <v>1200</v>
      </c>
      <c r="J10" s="287">
        <v>682.5</v>
      </c>
      <c r="K10" s="287">
        <v>700</v>
      </c>
      <c r="L10" s="287">
        <v>614.38</v>
      </c>
      <c r="M10" s="287">
        <v>700</v>
      </c>
      <c r="N10" s="290">
        <v>574.33000000000004</v>
      </c>
      <c r="O10" s="289">
        <v>650</v>
      </c>
      <c r="P10" s="289">
        <v>700.56</v>
      </c>
      <c r="Q10" s="289">
        <v>700</v>
      </c>
      <c r="R10" s="289">
        <v>891.97</v>
      </c>
      <c r="S10" s="289"/>
      <c r="T10" s="289">
        <v>428.06</v>
      </c>
      <c r="U10" s="289"/>
      <c r="V10" s="289"/>
    </row>
    <row r="11" spans="1:22">
      <c r="A11" s="291"/>
      <c r="B11" s="283" t="s">
        <v>72</v>
      </c>
      <c r="C11" s="289">
        <v>0</v>
      </c>
      <c r="D11" s="289">
        <v>0</v>
      </c>
      <c r="E11" s="289">
        <v>0</v>
      </c>
      <c r="F11" s="289">
        <v>0</v>
      </c>
      <c r="G11" s="289">
        <v>0</v>
      </c>
      <c r="H11" s="289">
        <v>0</v>
      </c>
      <c r="I11" s="289">
        <v>0</v>
      </c>
      <c r="J11" s="289">
        <v>0</v>
      </c>
      <c r="K11" s="289">
        <v>0</v>
      </c>
      <c r="L11" s="289">
        <v>0</v>
      </c>
      <c r="M11" s="289">
        <v>0</v>
      </c>
      <c r="N11" s="290">
        <v>726.8</v>
      </c>
      <c r="O11" s="289">
        <v>606.79999999999995</v>
      </c>
      <c r="P11" s="289">
        <v>566.79999999999995</v>
      </c>
      <c r="Q11" s="289">
        <v>606.79999999999995</v>
      </c>
      <c r="R11" s="289">
        <v>160</v>
      </c>
      <c r="S11" s="289"/>
      <c r="T11" s="289">
        <v>580</v>
      </c>
      <c r="U11" s="289"/>
      <c r="V11" s="289"/>
    </row>
    <row r="12" spans="1:22">
      <c r="A12" s="291" t="s">
        <v>213</v>
      </c>
      <c r="B12" s="283" t="s">
        <v>214</v>
      </c>
      <c r="C12" s="289"/>
      <c r="D12" s="289"/>
      <c r="E12" s="289"/>
      <c r="F12" s="289"/>
      <c r="G12" s="289"/>
      <c r="H12" s="289"/>
      <c r="I12" s="289"/>
      <c r="J12" s="289"/>
      <c r="K12" s="289"/>
      <c r="L12" s="289"/>
      <c r="M12" s="289"/>
      <c r="N12" s="290"/>
      <c r="O12" s="289"/>
      <c r="P12" s="289"/>
      <c r="Q12" s="289">
        <v>180</v>
      </c>
      <c r="R12" s="289"/>
      <c r="S12" s="289">
        <v>140</v>
      </c>
      <c r="T12" s="289">
        <v>153.41</v>
      </c>
      <c r="U12" s="289">
        <v>140</v>
      </c>
      <c r="V12" s="289"/>
    </row>
    <row r="13" spans="1:22">
      <c r="A13" s="291"/>
      <c r="B13" s="283" t="s">
        <v>74</v>
      </c>
      <c r="C13" s="289">
        <v>5</v>
      </c>
      <c r="D13" s="289">
        <v>0</v>
      </c>
      <c r="E13" s="289">
        <v>5</v>
      </c>
      <c r="F13" s="289">
        <v>0</v>
      </c>
      <c r="G13" s="289">
        <v>5</v>
      </c>
      <c r="H13" s="289">
        <v>0</v>
      </c>
      <c r="I13" s="289">
        <v>50</v>
      </c>
      <c r="J13" s="289">
        <v>0</v>
      </c>
      <c r="K13" s="289">
        <v>20</v>
      </c>
      <c r="L13" s="289">
        <v>0</v>
      </c>
      <c r="M13" s="289">
        <v>20</v>
      </c>
      <c r="N13" s="290">
        <v>0</v>
      </c>
      <c r="O13" s="289">
        <v>0</v>
      </c>
      <c r="P13" s="289"/>
      <c r="Q13" s="289"/>
      <c r="R13" s="289"/>
      <c r="S13" s="289"/>
      <c r="T13" s="289"/>
      <c r="U13" s="289"/>
      <c r="V13" s="289"/>
    </row>
    <row r="14" spans="1:22">
      <c r="A14" s="291"/>
      <c r="B14" s="283" t="s">
        <v>77</v>
      </c>
      <c r="C14" s="287">
        <v>1160</v>
      </c>
      <c r="D14" s="287">
        <v>1314.92</v>
      </c>
      <c r="E14" s="287">
        <v>1160</v>
      </c>
      <c r="F14" s="287">
        <v>1251.79</v>
      </c>
      <c r="G14" s="287">
        <v>1160</v>
      </c>
      <c r="H14" s="287">
        <v>1363.67</v>
      </c>
      <c r="I14" s="287">
        <v>1060</v>
      </c>
      <c r="J14" s="287">
        <v>1411.13</v>
      </c>
      <c r="K14" s="287">
        <v>1400</v>
      </c>
      <c r="L14" s="287">
        <v>1375.52</v>
      </c>
      <c r="M14" s="287">
        <v>1260</v>
      </c>
      <c r="N14" s="290">
        <v>1093.1400000000001</v>
      </c>
      <c r="O14" s="289">
        <v>1260</v>
      </c>
      <c r="P14" s="289"/>
      <c r="Q14" s="289">
        <v>1000</v>
      </c>
      <c r="R14" s="289">
        <v>312.55</v>
      </c>
      <c r="S14" s="289"/>
      <c r="T14" s="289">
        <v>10.85</v>
      </c>
      <c r="U14" s="289"/>
      <c r="V14" s="289"/>
    </row>
    <row r="15" spans="1:22">
      <c r="A15" s="291"/>
      <c r="B15" s="283" t="s">
        <v>215</v>
      </c>
      <c r="C15" s="287">
        <v>50</v>
      </c>
      <c r="D15" s="287">
        <v>0</v>
      </c>
      <c r="E15" s="287">
        <v>0</v>
      </c>
      <c r="F15" s="287">
        <v>0</v>
      </c>
      <c r="G15" s="287">
        <v>0</v>
      </c>
      <c r="H15" s="287">
        <v>61.2</v>
      </c>
      <c r="I15" s="287">
        <v>0</v>
      </c>
      <c r="J15" s="287">
        <v>0</v>
      </c>
      <c r="K15" s="287">
        <v>0</v>
      </c>
      <c r="L15" s="287">
        <v>1.98</v>
      </c>
      <c r="M15" s="287">
        <v>0</v>
      </c>
      <c r="N15" s="290">
        <v>0</v>
      </c>
      <c r="O15" s="289">
        <v>0</v>
      </c>
      <c r="P15" s="289"/>
      <c r="Q15" s="289"/>
      <c r="R15" s="289">
        <v>371.16</v>
      </c>
      <c r="S15" s="289"/>
      <c r="T15" s="289"/>
      <c r="U15" s="289"/>
      <c r="V15" s="289"/>
    </row>
    <row r="16" spans="1:22">
      <c r="A16" s="291"/>
      <c r="B16" s="283" t="s">
        <v>216</v>
      </c>
      <c r="C16" s="287">
        <v>350</v>
      </c>
      <c r="D16" s="287">
        <v>259.74</v>
      </c>
      <c r="E16" s="287">
        <v>250</v>
      </c>
      <c r="F16" s="287">
        <v>208.73</v>
      </c>
      <c r="G16" s="287">
        <v>250</v>
      </c>
      <c r="H16" s="287">
        <v>293.74</v>
      </c>
      <c r="I16" s="287">
        <v>300</v>
      </c>
      <c r="J16" s="287">
        <v>0</v>
      </c>
      <c r="K16" s="287">
        <v>250</v>
      </c>
      <c r="L16" s="287">
        <v>253.59</v>
      </c>
      <c r="M16" s="287">
        <v>150</v>
      </c>
      <c r="N16" s="290">
        <v>31.88</v>
      </c>
      <c r="O16" s="289">
        <v>70</v>
      </c>
      <c r="P16" s="289">
        <v>129.9</v>
      </c>
      <c r="Q16" s="289">
        <v>120</v>
      </c>
      <c r="R16" s="289">
        <v>99.19</v>
      </c>
      <c r="S16" s="289"/>
      <c r="T16" s="289"/>
      <c r="U16" s="289"/>
      <c r="V16" s="289"/>
    </row>
    <row r="17" spans="1:22">
      <c r="A17" s="291"/>
      <c r="B17" s="283" t="s">
        <v>81</v>
      </c>
      <c r="C17" s="287">
        <v>1470</v>
      </c>
      <c r="D17" s="287">
        <v>731.12</v>
      </c>
      <c r="E17" s="287">
        <v>1050</v>
      </c>
      <c r="F17" s="287">
        <v>826.24</v>
      </c>
      <c r="G17" s="287">
        <v>1050</v>
      </c>
      <c r="H17" s="287">
        <v>110.98</v>
      </c>
      <c r="I17" s="287">
        <v>650</v>
      </c>
      <c r="J17" s="287">
        <v>386.21</v>
      </c>
      <c r="K17" s="287">
        <v>575</v>
      </c>
      <c r="L17" s="287">
        <v>843.47</v>
      </c>
      <c r="M17" s="287">
        <v>820</v>
      </c>
      <c r="N17" s="290">
        <v>487.09</v>
      </c>
      <c r="O17" s="289">
        <v>730</v>
      </c>
      <c r="P17" s="289">
        <v>855.98</v>
      </c>
      <c r="Q17" s="289">
        <v>100</v>
      </c>
      <c r="R17" s="289">
        <v>5.08</v>
      </c>
      <c r="S17" s="289"/>
      <c r="T17" s="289"/>
      <c r="U17" s="289"/>
      <c r="V17" s="289"/>
    </row>
    <row r="18" spans="1:22">
      <c r="A18" s="291"/>
      <c r="B18" s="283" t="s">
        <v>217</v>
      </c>
      <c r="C18" s="287">
        <v>2660</v>
      </c>
      <c r="D18" s="287">
        <v>2140.64</v>
      </c>
      <c r="E18" s="287">
        <v>2840</v>
      </c>
      <c r="F18" s="287">
        <v>2398.4299999999998</v>
      </c>
      <c r="G18" s="287">
        <v>2840</v>
      </c>
      <c r="H18" s="287">
        <v>2523.64</v>
      </c>
      <c r="I18" s="287">
        <v>7680</v>
      </c>
      <c r="J18" s="287">
        <v>8183.62</v>
      </c>
      <c r="K18" s="287">
        <v>8700</v>
      </c>
      <c r="L18" s="287">
        <v>10672.44</v>
      </c>
      <c r="M18" s="287">
        <v>8700</v>
      </c>
      <c r="N18" s="290">
        <v>8226.68</v>
      </c>
      <c r="O18" s="289">
        <v>7500</v>
      </c>
      <c r="P18" s="289">
        <v>4950.17</v>
      </c>
      <c r="Q18" s="289">
        <v>3487</v>
      </c>
      <c r="R18" s="289">
        <v>3040.72</v>
      </c>
      <c r="S18" s="289"/>
      <c r="T18" s="289"/>
      <c r="U18" s="289"/>
      <c r="V18" s="289"/>
    </row>
    <row r="19" spans="1:22">
      <c r="A19" s="291"/>
      <c r="B19" s="283" t="s">
        <v>87</v>
      </c>
      <c r="C19" s="289">
        <v>998.92</v>
      </c>
      <c r="D19" s="289">
        <v>1017.69</v>
      </c>
      <c r="E19" s="289">
        <v>998.92</v>
      </c>
      <c r="F19" s="289">
        <v>668.14</v>
      </c>
      <c r="G19" s="289">
        <v>774.24</v>
      </c>
      <c r="H19" s="289">
        <v>1473.32</v>
      </c>
      <c r="I19" s="289">
        <v>322.54000000000002</v>
      </c>
      <c r="J19" s="289">
        <v>322.56</v>
      </c>
      <c r="K19" s="289">
        <v>322.56</v>
      </c>
      <c r="L19" s="289">
        <v>322.56</v>
      </c>
      <c r="M19" s="289">
        <v>322.56</v>
      </c>
      <c r="N19" s="290">
        <v>1003.68</v>
      </c>
      <c r="O19" s="289">
        <v>1000</v>
      </c>
      <c r="P19" s="289">
        <v>1003.68</v>
      </c>
      <c r="Q19" s="289">
        <v>1000</v>
      </c>
      <c r="R19" s="289">
        <v>1003.68</v>
      </c>
      <c r="S19" s="289"/>
      <c r="T19" s="289"/>
      <c r="U19" s="289"/>
      <c r="V19" s="289"/>
    </row>
    <row r="20" spans="1:22">
      <c r="A20" s="291"/>
      <c r="B20" s="283" t="s">
        <v>218</v>
      </c>
      <c r="C20" s="287">
        <v>4635</v>
      </c>
      <c r="D20" s="287">
        <v>4786.28</v>
      </c>
      <c r="E20" s="287">
        <v>4574.08</v>
      </c>
      <c r="F20" s="287">
        <v>4501.74</v>
      </c>
      <c r="G20" s="287">
        <v>4600</v>
      </c>
      <c r="H20" s="287">
        <v>4618</v>
      </c>
      <c r="I20" s="287">
        <v>2900</v>
      </c>
      <c r="J20" s="287">
        <v>1275.93</v>
      </c>
      <c r="K20" s="287">
        <v>2900</v>
      </c>
      <c r="L20" s="287">
        <v>1252.27</v>
      </c>
      <c r="M20" s="287">
        <v>2800</v>
      </c>
      <c r="N20" s="290">
        <v>825.21</v>
      </c>
      <c r="O20" s="289">
        <v>5600</v>
      </c>
      <c r="P20" s="289">
        <v>803.35</v>
      </c>
      <c r="Q20" s="289">
        <v>2800</v>
      </c>
      <c r="R20" s="289"/>
      <c r="S20" s="289"/>
      <c r="T20" s="289"/>
      <c r="U20" s="289"/>
      <c r="V20" s="289"/>
    </row>
    <row r="21" spans="1:22">
      <c r="A21" s="291"/>
      <c r="B21" s="283" t="s">
        <v>219</v>
      </c>
      <c r="C21" s="289">
        <v>250</v>
      </c>
      <c r="D21" s="289">
        <v>0</v>
      </c>
      <c r="E21" s="289">
        <v>150</v>
      </c>
      <c r="F21" s="289">
        <v>0</v>
      </c>
      <c r="G21" s="289">
        <v>150</v>
      </c>
      <c r="H21" s="289">
        <v>0</v>
      </c>
      <c r="I21" s="289">
        <v>0</v>
      </c>
      <c r="J21" s="289">
        <v>0</v>
      </c>
      <c r="K21" s="289"/>
      <c r="L21" s="289">
        <v>0</v>
      </c>
      <c r="M21" s="289"/>
      <c r="N21" s="290">
        <v>0</v>
      </c>
      <c r="O21" s="289">
        <v>0</v>
      </c>
      <c r="P21" s="289"/>
      <c r="Q21" s="289"/>
      <c r="R21" s="289"/>
      <c r="S21" s="289"/>
      <c r="T21" s="289"/>
      <c r="U21" s="289"/>
      <c r="V21" s="289"/>
    </row>
    <row r="22" spans="1:22">
      <c r="A22" s="283"/>
      <c r="B22" s="283" t="s">
        <v>220</v>
      </c>
      <c r="C22" s="355"/>
      <c r="D22" s="355"/>
      <c r="E22" s="355"/>
      <c r="F22" s="355"/>
      <c r="G22" s="355"/>
      <c r="H22" s="355"/>
      <c r="I22" s="355"/>
      <c r="J22" s="355"/>
      <c r="K22" s="355"/>
      <c r="L22" s="355"/>
      <c r="M22" s="355"/>
      <c r="N22" s="355"/>
      <c r="O22" s="355"/>
      <c r="P22" s="355"/>
      <c r="Q22" s="355"/>
      <c r="R22" s="355"/>
      <c r="S22" s="356"/>
      <c r="T22" s="289">
        <v>6.58</v>
      </c>
      <c r="U22" s="355"/>
      <c r="V22" s="357"/>
    </row>
    <row r="23" spans="1:22" s="285" customFormat="1">
      <c r="B23" s="353" t="s">
        <v>13</v>
      </c>
      <c r="C23" s="352">
        <f>SUBTOTAL(109,OrientationExpenses65[Budget 10/11])</f>
        <v>12478.92</v>
      </c>
      <c r="D23" s="352">
        <f>SUBTOTAL(109,OrientationExpenses65[Actual 10/11])</f>
        <v>11374.779999999999</v>
      </c>
      <c r="E23" s="352">
        <f>SUBTOTAL(109,OrientationExpenses65[Budget 11/12])</f>
        <v>12128</v>
      </c>
      <c r="F23" s="352">
        <f>SUBTOTAL(109,OrientationExpenses65[Actual 11/12])</f>
        <v>10956.509999999998</v>
      </c>
      <c r="G23" s="352">
        <f>SUBTOTAL(109,OrientationExpenses65[Budget 12/13])</f>
        <v>11929.24</v>
      </c>
      <c r="H23" s="352">
        <f>SUBTOTAL(109,OrientationExpenses65[Actual 12/13])</f>
        <v>11274.06</v>
      </c>
      <c r="I23" s="352">
        <f>SUBTOTAL(109,OrientationExpenses65[Budget 13/14])</f>
        <v>14162.54</v>
      </c>
      <c r="J23" s="352">
        <f>SUBTOTAL(109,OrientationExpenses65[Actual 13/14])</f>
        <v>12261.949999999999</v>
      </c>
      <c r="K23" s="352">
        <f>SUBTOTAL(109,OrientationExpenses65[Budget 14/15])</f>
        <v>14867.56</v>
      </c>
      <c r="L23" s="352">
        <f>SUBTOTAL(109,OrientationExpenses65[Actuals 14/15])</f>
        <v>15364.93</v>
      </c>
      <c r="M23" s="352">
        <f>SUBTOTAL(109,OrientationExpenses65[Budget 15/16])</f>
        <v>14772.56</v>
      </c>
      <c r="N23" s="354">
        <f>SUBTOTAL(109,OrientationExpenses65[Actuals 15/16])</f>
        <v>12968.810000000001</v>
      </c>
      <c r="O23" s="352">
        <f>SUBTOTAL(109,OrientationExpenses65[Budget 16/17])</f>
        <v>18766.8</v>
      </c>
      <c r="P23" s="352">
        <f>SUBTOTAL(109,OrientationExpenses65[Actual 16/17])</f>
        <v>10830.94</v>
      </c>
      <c r="Q23" s="352">
        <f>SUBTOTAL(109,OrientationExpenses65[Budget 17/18])</f>
        <v>11743.8</v>
      </c>
      <c r="R23" s="352">
        <f>SUBTOTAL(109,OrientationExpenses65[Actual 17/18])</f>
        <v>6918.8600000000006</v>
      </c>
      <c r="S23" s="352">
        <f>SUM(OrientationExpenses65[Budget 18/19])</f>
        <v>1490</v>
      </c>
      <c r="T23" s="352">
        <f>SUM(OrientationExpenses65[Actual 18/19])</f>
        <v>1847.1699999999998</v>
      </c>
      <c r="U23" s="352">
        <f>SUM(U9:U20)</f>
        <v>1490</v>
      </c>
      <c r="V23" s="352"/>
    </row>
    <row r="24" spans="1:22" ht="13.5" thickBot="1">
      <c r="B24" s="288"/>
      <c r="C24" s="287"/>
      <c r="D24" s="287"/>
      <c r="E24" s="287"/>
      <c r="F24" s="287"/>
      <c r="G24" s="287"/>
      <c r="H24" s="287"/>
      <c r="I24" s="287"/>
      <c r="J24" s="287"/>
      <c r="K24" s="287"/>
      <c r="L24" s="287"/>
      <c r="M24" s="287"/>
      <c r="P24" s="286"/>
      <c r="Q24" s="285"/>
      <c r="R24" s="285"/>
      <c r="S24" s="285"/>
      <c r="T24" s="285"/>
      <c r="U24" s="285"/>
      <c r="V24" s="285"/>
    </row>
    <row r="25" spans="1:22" ht="19.5" thickBot="1">
      <c r="B25" s="466" t="s">
        <v>102</v>
      </c>
      <c r="C25" s="284">
        <f>OrientationRevenues64[[#Totals],[Budget 10/11]]-OrientationExpenses65[[#Totals],[Budget 10/11]]</f>
        <v>-12478.92</v>
      </c>
      <c r="D25" s="284">
        <f>OrientationRevenues64[[#Totals],[Actual 10/11]]-OrientationExpenses65[[#Totals],[Actual 10/11]]</f>
        <v>-11374.779999999999</v>
      </c>
      <c r="E25" s="284">
        <f>OrientationRevenues64[[#Totals],[Budget 11/12]]-OrientationExpenses65[[#Totals],[Budget 11/12]]</f>
        <v>-12128</v>
      </c>
      <c r="F25" s="284">
        <f>OrientationRevenues64[[#Totals],[Actual 11/12]]-OrientationExpenses65[[#Totals],[Actual 11/12]]</f>
        <v>-10956.509999999998</v>
      </c>
      <c r="G25" s="284">
        <f>OrientationRevenues64[[#Totals],[Budget 12/13]]-OrientationExpenses65[[#Totals],[Budget 12/13]]</f>
        <v>-11929.24</v>
      </c>
      <c r="H25" s="284">
        <f>OrientationRevenues64[[#Totals],[Actual 12/13]]-OrientationExpenses65[[#Totals],[Actual 12/13]]</f>
        <v>-11274.06</v>
      </c>
      <c r="I25" s="284">
        <f>OrientationRevenues64[[#Totals],[Budget 13/14]]-OrientationExpenses65[[#Totals],[Budget 13/14]]</f>
        <v>-14162.54</v>
      </c>
      <c r="J25" s="284">
        <f>OrientationRevenues64[[#Totals],[Actual 13/14]]-OrientationExpenses65[[#Totals],[Actual 13/14]]</f>
        <v>-12261.949999999999</v>
      </c>
      <c r="K25" s="284">
        <f>OrientationRevenues64[[#Totals],[Budget 14/15]]-OrientationExpenses65[[#Totals],[Budget 14/15]]</f>
        <v>-14867.56</v>
      </c>
      <c r="L25" s="284">
        <f>OrientationRevenues64[[#Totals],[Actuals 14/15]]-OrientationExpenses65[[#Totals],[Actuals 14/15]]</f>
        <v>-15364.93</v>
      </c>
      <c r="M25" s="284">
        <f>OrientationRevenues64[[#Totals],[Budget 15/16]]-OrientationExpenses65[[#Totals],[Budget 15/16]]</f>
        <v>-14772.56</v>
      </c>
      <c r="N25" s="284">
        <f>OrientationRevenues64[[#Totals],[Actuals 15/16]]-OrientationExpenses65[[#Totals],[Actuals 15/16]]</f>
        <v>-12968.810000000001</v>
      </c>
      <c r="O25" s="284">
        <f>OrientationRevenues64[[#Totals],[Budget 16/17]]-OrientationExpenses65[[#Totals],[Budget 16/17]]</f>
        <v>-18766.8</v>
      </c>
      <c r="P25" s="284">
        <f>OrientationRevenues64[[#Totals],[Actual 16/17]]-OrientationExpenses65[[#Totals],[Actual 16/17]]</f>
        <v>-10830.94</v>
      </c>
      <c r="Q25" s="284">
        <f>OrientationRevenues64[[#Totals],[Budget 17/18]]-OrientationExpenses65[[#Totals],[Budget 17/18]]</f>
        <v>-11743.8</v>
      </c>
      <c r="R25" s="284">
        <f>OrientationRevenues64[[#Totals],[Actual 17/18]]-OrientationExpenses65[[#Totals],[Actual 17/18]]</f>
        <v>-6918.8600000000006</v>
      </c>
      <c r="S25" s="284">
        <f>OrientationRevenues64[[#Totals],[Budget 18/19]]-OrientationExpenses65[[#Totals],[Budget 18/19]]</f>
        <v>-1490</v>
      </c>
      <c r="T25" s="284">
        <f>OrientationRevenues64[[#Totals],[Actual 18/19]]-OrientationExpenses65[[#Totals],[Actual 18/19]]</f>
        <v>-1847.1699999999998</v>
      </c>
      <c r="U25" s="284">
        <f>OrientationRevenues64[[#Totals],[Budget 19/20]]-OrientationExpenses65[[#Totals],[Budget 19/20]]</f>
        <v>-1490</v>
      </c>
      <c r="V25" s="284"/>
    </row>
    <row r="26" spans="1:22">
      <c r="B26" s="283"/>
      <c r="C26" s="283"/>
      <c r="D26" s="283"/>
      <c r="E26" s="283"/>
      <c r="F26" s="283"/>
      <c r="G26" s="283"/>
      <c r="H26" s="283"/>
      <c r="I26" s="283"/>
      <c r="J26" s="283"/>
      <c r="K26" s="283"/>
      <c r="L26" s="283"/>
      <c r="M26" s="283"/>
    </row>
    <row r="27" spans="1:22">
      <c r="A27" s="274" t="s">
        <v>221</v>
      </c>
    </row>
    <row r="29" spans="1:22">
      <c r="B29" s="282"/>
    </row>
    <row r="31" spans="1:22">
      <c r="C31" s="276"/>
      <c r="D31" s="276"/>
      <c r="E31" s="276"/>
      <c r="F31" s="276"/>
      <c r="G31" s="276"/>
      <c r="H31" s="276"/>
      <c r="I31" s="276"/>
      <c r="J31" s="276"/>
      <c r="K31" s="276"/>
      <c r="L31" s="276"/>
      <c r="M31" s="276"/>
    </row>
    <row r="36" spans="9:15">
      <c r="I36" s="281"/>
      <c r="J36" s="279"/>
      <c r="K36" s="279"/>
      <c r="L36" s="279"/>
      <c r="M36" s="279"/>
      <c r="N36" s="280"/>
      <c r="O36" s="279"/>
    </row>
    <row r="37" spans="9:15">
      <c r="I37" s="281"/>
      <c r="J37" s="279"/>
      <c r="K37" s="279"/>
      <c r="L37" s="279"/>
      <c r="M37" s="279"/>
      <c r="N37" s="280"/>
      <c r="O37" s="279"/>
    </row>
    <row r="38" spans="9:15">
      <c r="I38" s="281"/>
      <c r="J38" s="279"/>
      <c r="K38" s="279"/>
      <c r="L38" s="279"/>
      <c r="M38" s="279"/>
      <c r="N38" s="280"/>
      <c r="O38" s="279"/>
    </row>
    <row r="39" spans="9:15">
      <c r="I39" s="281"/>
      <c r="J39" s="279"/>
      <c r="K39" s="279"/>
      <c r="L39" s="279"/>
      <c r="M39" s="279"/>
      <c r="N39" s="280"/>
      <c r="O39" s="279"/>
    </row>
    <row r="40" spans="9:15">
      <c r="I40" s="281"/>
      <c r="J40" s="279"/>
      <c r="K40" s="279"/>
      <c r="L40" s="279"/>
      <c r="M40" s="279"/>
      <c r="N40" s="280"/>
      <c r="O40" s="279"/>
    </row>
    <row r="41" spans="9:15">
      <c r="I41" s="281"/>
      <c r="J41" s="279"/>
      <c r="K41" s="279"/>
      <c r="L41" s="279"/>
      <c r="M41" s="279"/>
      <c r="N41" s="280"/>
      <c r="O41" s="279"/>
    </row>
    <row r="42" spans="9:15">
      <c r="I42" s="281"/>
      <c r="J42" s="279"/>
      <c r="K42" s="279"/>
      <c r="L42" s="279"/>
      <c r="M42" s="279"/>
      <c r="N42" s="280"/>
      <c r="O42" s="279"/>
    </row>
    <row r="43" spans="9:15">
      <c r="I43" s="281"/>
      <c r="J43" s="279"/>
      <c r="K43" s="279"/>
      <c r="L43" s="279"/>
      <c r="M43" s="279"/>
      <c r="N43" s="280"/>
      <c r="O43" s="279"/>
    </row>
    <row r="44" spans="9:15">
      <c r="I44" s="281"/>
      <c r="J44" s="279"/>
      <c r="K44" s="279"/>
      <c r="L44" s="279"/>
      <c r="M44" s="279"/>
      <c r="N44" s="280"/>
      <c r="O44" s="279"/>
    </row>
    <row r="59" spans="2:13">
      <c r="B59" s="278"/>
      <c r="C59" s="277"/>
      <c r="D59" s="277"/>
      <c r="E59" s="277"/>
      <c r="F59" s="277"/>
      <c r="G59" s="277"/>
      <c r="H59" s="277"/>
      <c r="I59" s="277"/>
      <c r="J59" s="277"/>
      <c r="K59" s="277"/>
      <c r="L59" s="277"/>
      <c r="M59" s="277"/>
    </row>
    <row r="61" spans="2:13">
      <c r="C61" s="276"/>
      <c r="D61" s="276"/>
      <c r="E61" s="276"/>
      <c r="F61" s="276"/>
      <c r="G61" s="276"/>
      <c r="H61" s="276"/>
      <c r="I61" s="276"/>
      <c r="J61" s="276"/>
      <c r="K61" s="276"/>
      <c r="L61" s="276"/>
      <c r="M61" s="276"/>
    </row>
  </sheetData>
  <mergeCells count="1">
    <mergeCell ref="A1:B1"/>
  </mergeCells>
  <pageMargins left="0" right="0" top="0.98425196850393704" bottom="0.98425196850393704" header="0.51181102362204722" footer="0.51181102362204722"/>
  <pageSetup paperSize="5" orientation="landscape" r:id="rId1"/>
  <headerFooter alignWithMargins="0"/>
  <legacyDrawing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1"/>
  </sheetPr>
  <dimension ref="A1:K17"/>
  <sheetViews>
    <sheetView zoomScaleNormal="100" workbookViewId="0">
      <selection activeCell="J30" sqref="J30"/>
    </sheetView>
  </sheetViews>
  <sheetFormatPr defaultRowHeight="12.75"/>
  <cols>
    <col min="1" max="1" width="13.140625" style="8" customWidth="1"/>
    <col min="2" max="2" width="26.5703125" style="8" customWidth="1"/>
    <col min="3" max="3" width="14.5703125" style="8" hidden="1" customWidth="1"/>
    <col min="4" max="4" width="14.5703125" style="138" hidden="1" customWidth="1"/>
    <col min="5" max="5" width="14.5703125" style="8" hidden="1" customWidth="1"/>
    <col min="6" max="6" width="15.140625" style="8" hidden="1" customWidth="1"/>
    <col min="7" max="7" width="15.42578125" style="8" bestFit="1" customWidth="1"/>
    <col min="8" max="8" width="17.140625" style="8" customWidth="1"/>
    <col min="9" max="9" width="15.140625" style="8" customWidth="1"/>
    <col min="10" max="10" width="15.42578125" style="8" bestFit="1" customWidth="1"/>
    <col min="11" max="11" width="14.5703125" style="8" bestFit="1" customWidth="1"/>
    <col min="12" max="16384" width="9.140625" style="8"/>
  </cols>
  <sheetData>
    <row r="1" spans="1:11" ht="18">
      <c r="A1" s="534" t="s">
        <v>222</v>
      </c>
      <c r="B1" s="534"/>
      <c r="C1" s="534"/>
    </row>
    <row r="2" spans="1:11">
      <c r="A2" s="28" t="s">
        <v>186</v>
      </c>
      <c r="C2" s="18"/>
    </row>
    <row r="3" spans="1:11">
      <c r="A3" s="18"/>
      <c r="B3" s="18"/>
      <c r="C3" s="18"/>
    </row>
    <row r="4" spans="1:11">
      <c r="A4" s="18"/>
      <c r="B4" s="18" t="s">
        <v>47</v>
      </c>
      <c r="C4" s="18" t="s">
        <v>29</v>
      </c>
      <c r="D4" s="175" t="s">
        <v>30</v>
      </c>
      <c r="E4" s="50" t="s">
        <v>31</v>
      </c>
      <c r="F4" s="18" t="s">
        <v>32</v>
      </c>
      <c r="G4" s="18" t="s">
        <v>33</v>
      </c>
      <c r="H4" s="18" t="s">
        <v>34</v>
      </c>
      <c r="I4" s="18" t="s">
        <v>6</v>
      </c>
      <c r="J4" s="18" t="s">
        <v>8</v>
      </c>
      <c r="K4" s="18" t="s">
        <v>35</v>
      </c>
    </row>
    <row r="5" spans="1:11">
      <c r="A5" s="18"/>
      <c r="B5" s="18"/>
      <c r="C5" s="60">
        <v>0</v>
      </c>
      <c r="D5" s="166">
        <v>0</v>
      </c>
      <c r="E5" s="60">
        <v>0</v>
      </c>
      <c r="F5" s="60"/>
      <c r="G5" s="60"/>
      <c r="H5" s="60"/>
      <c r="I5" s="60"/>
      <c r="J5" s="60"/>
      <c r="K5" s="60"/>
    </row>
    <row r="6" spans="1:11">
      <c r="A6" s="18"/>
      <c r="B6" s="8" t="s">
        <v>13</v>
      </c>
      <c r="C6" s="16">
        <f>SUBTOTAL(109,SocietyRelationsRevenues[Budget 15/16])</f>
        <v>0</v>
      </c>
      <c r="D6" s="140">
        <f>SUBTOTAL(109,SocietyRelationsRevenues[Actual 15/16])</f>
        <v>0</v>
      </c>
      <c r="E6" s="16">
        <f>SUBTOTAL(109,SocietyRelationsRevenues[Budget 16/17])</f>
        <v>0</v>
      </c>
      <c r="F6"/>
      <c r="G6"/>
      <c r="H6"/>
      <c r="I6"/>
      <c r="J6"/>
      <c r="K6"/>
    </row>
    <row r="7" spans="1:11">
      <c r="B7" s="18"/>
      <c r="C7" s="18"/>
    </row>
    <row r="8" spans="1:11">
      <c r="A8" s="48" t="s">
        <v>107</v>
      </c>
      <c r="B8" s="18" t="s">
        <v>61</v>
      </c>
      <c r="C8" s="18" t="s">
        <v>29</v>
      </c>
      <c r="D8" s="175" t="s">
        <v>30</v>
      </c>
      <c r="E8" s="50" t="s">
        <v>31</v>
      </c>
      <c r="F8" s="50" t="s">
        <v>32</v>
      </c>
      <c r="G8" s="50" t="s">
        <v>33</v>
      </c>
      <c r="H8" s="50" t="s">
        <v>34</v>
      </c>
      <c r="I8" s="197" t="s">
        <v>6</v>
      </c>
      <c r="J8" s="197" t="s">
        <v>8</v>
      </c>
      <c r="K8" s="197"/>
    </row>
    <row r="9" spans="1:11">
      <c r="A9" s="48" t="s">
        <v>223</v>
      </c>
      <c r="B9" s="18" t="s">
        <v>77</v>
      </c>
      <c r="C9" s="17">
        <v>150</v>
      </c>
      <c r="D9" s="163">
        <v>0</v>
      </c>
      <c r="E9" s="17">
        <v>150</v>
      </c>
      <c r="F9" s="17"/>
      <c r="G9" s="17"/>
      <c r="H9" s="17"/>
      <c r="I9" s="198"/>
      <c r="J9" s="198"/>
      <c r="K9" s="198"/>
    </row>
    <row r="10" spans="1:11">
      <c r="A10" s="48" t="s">
        <v>224</v>
      </c>
      <c r="B10" s="18" t="s">
        <v>81</v>
      </c>
      <c r="C10" s="17">
        <v>500</v>
      </c>
      <c r="D10" s="163">
        <v>2326.38</v>
      </c>
      <c r="E10" s="17">
        <v>500</v>
      </c>
      <c r="F10" s="17">
        <v>197.9</v>
      </c>
      <c r="G10" s="17">
        <v>500</v>
      </c>
      <c r="H10" s="17">
        <v>201.07</v>
      </c>
      <c r="I10" s="198">
        <v>300</v>
      </c>
      <c r="J10" s="198">
        <v>300</v>
      </c>
      <c r="K10" s="198"/>
    </row>
    <row r="11" spans="1:11">
      <c r="A11" s="48" t="s">
        <v>225</v>
      </c>
      <c r="B11" s="18" t="s">
        <v>226</v>
      </c>
      <c r="C11" s="17">
        <v>100</v>
      </c>
      <c r="D11" s="163">
        <v>9.89</v>
      </c>
      <c r="E11" s="17">
        <v>100</v>
      </c>
      <c r="F11" s="17"/>
      <c r="G11" s="17"/>
      <c r="H11" s="17"/>
      <c r="I11" s="198"/>
      <c r="J11" s="198"/>
      <c r="K11" s="198"/>
    </row>
    <row r="12" spans="1:11">
      <c r="A12" s="48" t="s">
        <v>227</v>
      </c>
      <c r="B12" s="18" t="s">
        <v>228</v>
      </c>
      <c r="C12" s="17">
        <v>4250</v>
      </c>
      <c r="D12" s="163">
        <v>648.91999999999996</v>
      </c>
      <c r="E12" s="17">
        <v>3250</v>
      </c>
      <c r="F12" s="17">
        <v>3786.27</v>
      </c>
      <c r="G12" s="17">
        <v>3000</v>
      </c>
      <c r="H12" s="467"/>
      <c r="I12" s="456"/>
      <c r="J12" s="456"/>
      <c r="K12" s="456"/>
    </row>
    <row r="13" spans="1:11">
      <c r="A13" s="48" t="s">
        <v>227</v>
      </c>
      <c r="B13" s="18" t="s">
        <v>89</v>
      </c>
      <c r="C13" s="17"/>
      <c r="D13" s="163"/>
      <c r="E13" s="17"/>
      <c r="F13" s="17"/>
      <c r="G13" s="17"/>
      <c r="H13" s="17">
        <v>596.32000000000005</v>
      </c>
      <c r="I13" s="198">
        <v>2000</v>
      </c>
      <c r="J13" s="198">
        <v>1800</v>
      </c>
      <c r="K13" s="198"/>
    </row>
    <row r="14" spans="1:11" ht="13.5" thickBot="1">
      <c r="A14" s="48"/>
      <c r="B14" s="18" t="s">
        <v>66</v>
      </c>
      <c r="C14" s="17"/>
      <c r="D14" s="163"/>
      <c r="E14" s="17"/>
      <c r="F14" s="17"/>
      <c r="G14" s="17"/>
      <c r="H14" s="17">
        <v>1165.18</v>
      </c>
      <c r="I14" s="543"/>
      <c r="J14" s="468">
        <v>5500</v>
      </c>
      <c r="K14" s="543"/>
    </row>
    <row r="15" spans="1:11" ht="14.25" thickTop="1" thickBot="1">
      <c r="B15" s="8" t="s">
        <v>13</v>
      </c>
      <c r="C15" s="16">
        <f>SUBTOTAL(109,SocietyRelationsExpenses[Budget 15/16])</f>
        <v>5000</v>
      </c>
      <c r="D15" s="140">
        <f>SUBTOTAL(109,SocietyRelationsExpenses[Actual 15/16])</f>
        <v>2985.19</v>
      </c>
      <c r="E15" s="16">
        <f>SUBTOTAL(109,SocietyRelationsExpenses[Budget 16/17])</f>
        <v>4000</v>
      </c>
      <c r="F15" s="16">
        <f>SUBTOTAL(109,SocietyRelationsExpenses[Actual 16/17])</f>
        <v>3984.17</v>
      </c>
      <c r="G15" s="16">
        <f>SUBTOTAL(109,SocietyRelationsExpenses[Budget 17/18])</f>
        <v>3500</v>
      </c>
      <c r="H15" s="8">
        <f>SUBTOTAL(109,SocietyRelationsExpenses[Actual 17/18])</f>
        <v>1962.5700000000002</v>
      </c>
      <c r="I15" s="469">
        <f>SUM(I13,I10)</f>
        <v>2300</v>
      </c>
      <c r="J15" s="469">
        <f>SUM(J9:J14)</f>
        <v>7600</v>
      </c>
      <c r="K15" s="469"/>
    </row>
    <row r="16" spans="1:11" ht="14.25" thickTop="1" thickBot="1"/>
    <row r="17" spans="2:11" ht="19.5" thickBot="1">
      <c r="B17" s="452" t="s">
        <v>102</v>
      </c>
      <c r="C17" s="27">
        <f>SocietyRelationsRevenues[[#Totals],[Budget 15/16]]-SocietyRelationsExpenses[[#Totals],[Budget 15/16]]</f>
        <v>-5000</v>
      </c>
      <c r="D17" s="27">
        <f>SocietyRelationsRevenues[[#Totals],[Actual 15/16]]-SocietyRelationsExpenses[[#Totals],[Actual 15/16]]</f>
        <v>-2985.19</v>
      </c>
      <c r="E17" s="81">
        <f>SocietyRelationsRevenues[[#Totals],[Budget 16/17]]-SocietyRelationsExpenses[[#Totals],[Budget 16/17]]</f>
        <v>-4000</v>
      </c>
      <c r="F17" s="81">
        <f>SocietyRelationsRevenues[[#Totals],[Actual 16/17]]-SocietyRelationsExpenses[[#Totals],[Actual 16/17]]</f>
        <v>-3984.17</v>
      </c>
      <c r="G17" s="204">
        <f>SocietyRelationsRevenues[[#Totals],[Budget 17/18]]-SocietyRelationsExpenses[[#Totals],[Budget 17/18]]</f>
        <v>-3500</v>
      </c>
      <c r="H17" s="204">
        <f>SocietyRelationsRevenues[[#Totals],[Actual 17/18]]-SocietyRelationsExpenses[[#Totals],[Actual 17/18]]</f>
        <v>-1962.5700000000002</v>
      </c>
      <c r="I17" s="204">
        <f>-SUM(I9:I14)</f>
        <v>-2300</v>
      </c>
      <c r="J17" s="204">
        <f>SocietyRelationsRevenues[[#Totals],[Budget 19/20]]-J15</f>
        <v>-7600</v>
      </c>
      <c r="K17" s="81"/>
    </row>
  </sheetData>
  <mergeCells count="1">
    <mergeCell ref="A1:C1"/>
  </mergeCells>
  <pageMargins left="0.7" right="0.7" top="0.75" bottom="0.75" header="0.3" footer="0.3"/>
  <pageSetup orientation="portrait" r:id="rId1"/>
  <legacy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theme="1"/>
  </sheetPr>
  <dimension ref="A1:P26"/>
  <sheetViews>
    <sheetView showGridLines="0" zoomScaleNormal="100" workbookViewId="0">
      <selection activeCell="O38" sqref="O38"/>
    </sheetView>
  </sheetViews>
  <sheetFormatPr defaultRowHeight="12.75"/>
  <cols>
    <col min="1" max="1" width="13.85546875" style="8" customWidth="1"/>
    <col min="2" max="2" width="32.42578125" style="8" customWidth="1"/>
    <col min="3" max="7" width="16.85546875" style="8" hidden="1" customWidth="1"/>
    <col min="8" max="8" width="15.28515625" style="8" hidden="1" customWidth="1"/>
    <col min="9" max="9" width="14.140625" style="8" hidden="1" customWidth="1"/>
    <col min="10" max="10" width="15.28515625" style="8" hidden="1" customWidth="1"/>
    <col min="11" max="13" width="16.85546875" style="8" customWidth="1"/>
    <col min="14" max="14" width="16" style="8" bestFit="1" customWidth="1"/>
    <col min="15" max="15" width="14.5703125" style="8" bestFit="1" customWidth="1"/>
    <col min="16" max="16384" width="9.140625" style="8"/>
  </cols>
  <sheetData>
    <row r="1" spans="1:16" ht="18">
      <c r="A1" s="534" t="s">
        <v>229</v>
      </c>
      <c r="B1" s="534"/>
      <c r="C1" s="534"/>
    </row>
    <row r="2" spans="1:16">
      <c r="A2" s="28" t="s">
        <v>186</v>
      </c>
      <c r="C2" s="18"/>
    </row>
    <row r="3" spans="1:16">
      <c r="A3" s="9"/>
      <c r="B3" s="9"/>
      <c r="C3" s="61"/>
      <c r="D3" s="61"/>
      <c r="E3" s="61"/>
      <c r="F3" s="61"/>
      <c r="G3" s="61"/>
      <c r="H3" s="9"/>
      <c r="I3" s="9"/>
      <c r="J3" s="9"/>
      <c r="K3" s="9"/>
      <c r="L3" s="9"/>
      <c r="M3" s="9"/>
      <c r="N3" s="9"/>
    </row>
    <row r="4" spans="1:16">
      <c r="A4" s="48" t="s">
        <v>107</v>
      </c>
      <c r="B4" s="9" t="s">
        <v>47</v>
      </c>
      <c r="C4" s="9" t="s">
        <v>54</v>
      </c>
      <c r="D4" s="9" t="s">
        <v>55</v>
      </c>
      <c r="E4" s="9" t="s">
        <v>56</v>
      </c>
      <c r="F4" s="9" t="s">
        <v>104</v>
      </c>
      <c r="G4" s="9" t="s">
        <v>29</v>
      </c>
      <c r="H4" s="9" t="s">
        <v>30</v>
      </c>
      <c r="I4" s="9" t="s">
        <v>31</v>
      </c>
      <c r="J4" s="9" t="s">
        <v>32</v>
      </c>
      <c r="K4" s="9" t="s">
        <v>33</v>
      </c>
      <c r="L4" s="9" t="s">
        <v>34</v>
      </c>
      <c r="M4" s="9" t="s">
        <v>6</v>
      </c>
      <c r="N4" s="9" t="s">
        <v>7</v>
      </c>
      <c r="O4" s="9" t="s">
        <v>230</v>
      </c>
      <c r="P4" s="9" t="s">
        <v>231</v>
      </c>
    </row>
    <row r="5" spans="1:16">
      <c r="A5" s="48"/>
      <c r="B5" s="9" t="s">
        <v>157</v>
      </c>
      <c r="C5" s="62">
        <v>0</v>
      </c>
      <c r="D5" s="62">
        <v>0</v>
      </c>
      <c r="E5" s="62">
        <v>0</v>
      </c>
      <c r="F5" s="62">
        <v>0</v>
      </c>
      <c r="G5" s="62">
        <v>0</v>
      </c>
      <c r="H5" s="62">
        <v>0</v>
      </c>
      <c r="I5" s="62">
        <v>0</v>
      </c>
      <c r="J5" s="62"/>
      <c r="K5" s="62"/>
      <c r="L5" s="62"/>
      <c r="M5" s="62"/>
      <c r="N5" s="62"/>
      <c r="O5" s="62"/>
      <c r="P5" s="62"/>
    </row>
    <row r="6" spans="1:16">
      <c r="A6" s="48"/>
      <c r="B6" s="9" t="s">
        <v>232</v>
      </c>
      <c r="C6" s="62">
        <v>0</v>
      </c>
      <c r="D6" s="62">
        <v>0</v>
      </c>
      <c r="E6" s="62">
        <v>0</v>
      </c>
      <c r="F6" s="62">
        <v>0</v>
      </c>
      <c r="G6" s="62">
        <v>0</v>
      </c>
      <c r="H6" s="62">
        <v>0</v>
      </c>
      <c r="I6" s="62">
        <v>0</v>
      </c>
      <c r="J6" s="62"/>
      <c r="K6" s="62"/>
      <c r="L6" s="62"/>
      <c r="M6" s="62"/>
      <c r="N6" s="62"/>
      <c r="O6" s="62"/>
      <c r="P6" s="62"/>
    </row>
    <row r="7" spans="1:16">
      <c r="A7" s="48"/>
      <c r="B7" s="8" t="s">
        <v>13</v>
      </c>
      <c r="C7" s="16">
        <f>SUBTOTAL(109,DirectorofCampusLifeRevenues[Budget 13/14])</f>
        <v>0</v>
      </c>
      <c r="D7" s="16">
        <f>SUBTOTAL(109,DirectorofCampusLifeRevenues[Actual 13/14])</f>
        <v>0</v>
      </c>
      <c r="E7" s="16">
        <f>SUBTOTAL(109,DirectorofCampusLifeRevenues[Budget 14/15])</f>
        <v>0</v>
      </c>
      <c r="F7" s="16">
        <f>SUBTOTAL(109,DirectorofCampusLifeRevenues[Actual 14/15])</f>
        <v>0</v>
      </c>
      <c r="G7" s="16">
        <f>SUBTOTAL(109,DirectorofCampusLifeRevenues[Budget 15/16])</f>
        <v>0</v>
      </c>
      <c r="H7" s="16">
        <f>SUBTOTAL(109,DirectorofCampusLifeRevenues[Actual 15/16])</f>
        <v>0</v>
      </c>
      <c r="I7" s="16">
        <f>SUBTOTAL(109,DirectorofCampusLifeRevenues[Budget 16/17])</f>
        <v>0</v>
      </c>
      <c r="J7" s="16">
        <f>SUBTOTAL(109,DirectorofCampusLifeRevenues[Actual 16/17])</f>
        <v>0</v>
      </c>
      <c r="K7" s="16">
        <f>SUBTOTAL(109,DirectorofCampusLifeRevenues[Budget 17/18])</f>
        <v>0</v>
      </c>
      <c r="L7" s="8">
        <f>SUBTOTAL(109,DirectorofCampusLifeRevenues[Revenues])</f>
        <v>0</v>
      </c>
      <c r="M7" s="8">
        <f>SUBTOTAL(109,DirectorofCampusLifeRevenues[Budget 13/14])</f>
        <v>0</v>
      </c>
      <c r="O7" s="8">
        <f>SUBTOTAL(109,DirectorofCampusLifeRevenues[Actual 13/14])</f>
        <v>0</v>
      </c>
    </row>
    <row r="8" spans="1:16">
      <c r="B8" s="9"/>
      <c r="C8" s="63"/>
      <c r="D8" s="63"/>
      <c r="E8" s="63"/>
      <c r="F8" s="63"/>
      <c r="G8" s="63"/>
    </row>
    <row r="9" spans="1:16">
      <c r="A9" s="48" t="s">
        <v>107</v>
      </c>
      <c r="B9" s="9" t="s">
        <v>61</v>
      </c>
      <c r="C9" s="9" t="s">
        <v>54</v>
      </c>
      <c r="D9" s="9" t="s">
        <v>55</v>
      </c>
      <c r="E9" s="9" t="s">
        <v>56</v>
      </c>
      <c r="F9" s="9" t="s">
        <v>104</v>
      </c>
      <c r="G9" s="9" t="s">
        <v>29</v>
      </c>
      <c r="H9" s="9" t="s">
        <v>30</v>
      </c>
      <c r="I9" s="9" t="s">
        <v>31</v>
      </c>
      <c r="J9" s="9" t="s">
        <v>32</v>
      </c>
      <c r="K9" s="9" t="s">
        <v>33</v>
      </c>
      <c r="L9" s="9" t="s">
        <v>34</v>
      </c>
      <c r="M9" s="9" t="s">
        <v>6</v>
      </c>
      <c r="N9" s="9" t="s">
        <v>7</v>
      </c>
      <c r="O9" s="9" t="s">
        <v>8</v>
      </c>
      <c r="P9" s="9" t="s">
        <v>35</v>
      </c>
    </row>
    <row r="10" spans="1:16">
      <c r="A10" s="48" t="s">
        <v>233</v>
      </c>
      <c r="B10" s="9" t="s">
        <v>234</v>
      </c>
      <c r="C10" s="65">
        <v>0</v>
      </c>
      <c r="D10" s="65">
        <v>0</v>
      </c>
      <c r="E10" s="65">
        <v>0</v>
      </c>
      <c r="F10" s="65">
        <v>0</v>
      </c>
      <c r="G10" s="65">
        <v>0</v>
      </c>
      <c r="H10" s="14"/>
      <c r="I10" s="65">
        <v>0</v>
      </c>
      <c r="J10" s="65"/>
      <c r="K10" s="65"/>
      <c r="L10" s="65">
        <v>3231.77</v>
      </c>
      <c r="M10" s="65"/>
      <c r="N10" s="65"/>
      <c r="O10" s="65"/>
      <c r="P10" s="65"/>
    </row>
    <row r="11" spans="1:16">
      <c r="A11" s="48" t="s">
        <v>235</v>
      </c>
      <c r="B11" s="9" t="s">
        <v>236</v>
      </c>
      <c r="C11" s="65">
        <v>2250</v>
      </c>
      <c r="D11" s="65">
        <v>0</v>
      </c>
      <c r="E11" s="65">
        <v>0</v>
      </c>
      <c r="F11" s="65">
        <v>0</v>
      </c>
      <c r="G11" s="65">
        <v>0</v>
      </c>
      <c r="H11" s="65">
        <v>0</v>
      </c>
      <c r="I11" s="65">
        <v>0</v>
      </c>
      <c r="J11" s="65"/>
      <c r="K11" s="65"/>
      <c r="L11" s="65">
        <v>70.56</v>
      </c>
      <c r="M11" s="65"/>
      <c r="N11" s="65"/>
      <c r="O11" s="470">
        <v>2000</v>
      </c>
      <c r="P11" s="65"/>
    </row>
    <row r="12" spans="1:16">
      <c r="A12" s="48" t="s">
        <v>237</v>
      </c>
      <c r="B12" s="9" t="s">
        <v>116</v>
      </c>
      <c r="C12" s="65">
        <v>0</v>
      </c>
      <c r="D12" s="65">
        <v>0</v>
      </c>
      <c r="E12" s="65">
        <v>0</v>
      </c>
      <c r="F12" s="65">
        <v>0</v>
      </c>
      <c r="G12" s="65">
        <v>0</v>
      </c>
      <c r="H12" s="65">
        <v>0</v>
      </c>
      <c r="I12" s="65">
        <v>0</v>
      </c>
      <c r="J12" s="65"/>
      <c r="K12" s="65"/>
      <c r="L12" s="65"/>
      <c r="M12" s="65"/>
      <c r="N12" s="65"/>
      <c r="O12" s="65"/>
      <c r="P12" s="65"/>
    </row>
    <row r="13" spans="1:16">
      <c r="A13" s="48" t="s">
        <v>238</v>
      </c>
      <c r="B13" s="9" t="s">
        <v>70</v>
      </c>
      <c r="C13" s="65">
        <v>350</v>
      </c>
      <c r="D13" s="65">
        <v>45.76</v>
      </c>
      <c r="E13" s="65">
        <v>350</v>
      </c>
      <c r="F13" s="65">
        <v>275.77999999999997</v>
      </c>
      <c r="G13" s="65">
        <v>350</v>
      </c>
      <c r="H13" s="65">
        <v>256.51</v>
      </c>
      <c r="I13" s="65">
        <v>350</v>
      </c>
      <c r="J13" s="471">
        <v>254.43</v>
      </c>
      <c r="K13" s="65">
        <v>350</v>
      </c>
      <c r="L13" s="65">
        <v>214.07</v>
      </c>
      <c r="M13" s="65">
        <v>250</v>
      </c>
      <c r="N13" s="65">
        <v>230.88</v>
      </c>
      <c r="O13" s="65">
        <v>250</v>
      </c>
      <c r="P13" s="65"/>
    </row>
    <row r="14" spans="1:16">
      <c r="A14" s="48" t="s">
        <v>239</v>
      </c>
      <c r="B14" s="9" t="s">
        <v>74</v>
      </c>
      <c r="C14" s="65">
        <v>5</v>
      </c>
      <c r="D14" s="65">
        <v>0</v>
      </c>
      <c r="E14" s="65">
        <v>5</v>
      </c>
      <c r="F14" s="65">
        <v>0</v>
      </c>
      <c r="G14" s="65">
        <v>5</v>
      </c>
      <c r="H14" s="65">
        <v>0</v>
      </c>
      <c r="I14" s="65">
        <v>0</v>
      </c>
      <c r="J14" s="471"/>
      <c r="K14" s="65"/>
      <c r="L14" s="65"/>
      <c r="M14" s="65"/>
      <c r="N14" s="65"/>
      <c r="O14" s="65"/>
      <c r="P14" s="65"/>
    </row>
    <row r="15" spans="1:16">
      <c r="A15" s="48" t="s">
        <v>240</v>
      </c>
      <c r="B15" s="9" t="s">
        <v>77</v>
      </c>
      <c r="C15" s="65">
        <v>275</v>
      </c>
      <c r="D15" s="65">
        <v>313.36</v>
      </c>
      <c r="E15" s="65">
        <v>300</v>
      </c>
      <c r="F15" s="65">
        <v>125.84</v>
      </c>
      <c r="G15" s="65">
        <v>200</v>
      </c>
      <c r="H15" s="65">
        <v>89.19</v>
      </c>
      <c r="I15" s="65">
        <v>150</v>
      </c>
      <c r="J15" s="471"/>
      <c r="K15" s="65">
        <v>150</v>
      </c>
      <c r="L15" s="65">
        <v>90.34</v>
      </c>
      <c r="M15" s="65">
        <v>150</v>
      </c>
      <c r="N15" s="65">
        <f>140.97+0.09</f>
        <v>141.06</v>
      </c>
      <c r="O15" s="65">
        <v>100</v>
      </c>
      <c r="P15" s="65"/>
    </row>
    <row r="16" spans="1:16">
      <c r="A16" s="48" t="s">
        <v>241</v>
      </c>
      <c r="B16" s="9" t="s">
        <v>242</v>
      </c>
      <c r="C16" s="65">
        <v>500</v>
      </c>
      <c r="D16" s="65">
        <v>0</v>
      </c>
      <c r="E16" s="65">
        <v>350</v>
      </c>
      <c r="F16" s="65">
        <v>10.95</v>
      </c>
      <c r="G16" s="65">
        <v>350</v>
      </c>
      <c r="H16" s="65">
        <v>0</v>
      </c>
      <c r="I16" s="65">
        <v>100</v>
      </c>
      <c r="J16" s="471">
        <v>0.89</v>
      </c>
      <c r="K16" s="65">
        <v>100</v>
      </c>
      <c r="L16" s="65">
        <v>28.08</v>
      </c>
      <c r="M16" s="65">
        <v>100</v>
      </c>
      <c r="N16" s="65">
        <v>95.59</v>
      </c>
      <c r="O16" s="65">
        <v>100</v>
      </c>
      <c r="P16" s="65"/>
    </row>
    <row r="17" spans="1:16">
      <c r="A17" s="48" t="s">
        <v>243</v>
      </c>
      <c r="B17" s="9" t="s">
        <v>244</v>
      </c>
      <c r="C17" s="65">
        <v>2000</v>
      </c>
      <c r="D17" s="65">
        <v>880.23</v>
      </c>
      <c r="E17" s="65">
        <v>1000</v>
      </c>
      <c r="F17" s="65">
        <v>1047.4000000000001</v>
      </c>
      <c r="G17" s="65">
        <v>1000</v>
      </c>
      <c r="H17" s="65">
        <v>608.55999999999995</v>
      </c>
      <c r="I17" s="65">
        <v>600</v>
      </c>
      <c r="J17" s="471">
        <v>405.37</v>
      </c>
      <c r="K17" s="65">
        <v>600</v>
      </c>
      <c r="L17" s="65">
        <v>207.58</v>
      </c>
      <c r="M17" s="65">
        <v>400</v>
      </c>
      <c r="N17" s="65">
        <v>130.13999999999999</v>
      </c>
      <c r="O17" s="65">
        <v>250</v>
      </c>
      <c r="P17" s="65"/>
    </row>
    <row r="18" spans="1:16">
      <c r="A18" s="48" t="s">
        <v>245</v>
      </c>
      <c r="B18" s="9" t="s">
        <v>83</v>
      </c>
      <c r="C18" s="65">
        <v>4500</v>
      </c>
      <c r="D18" s="65">
        <v>2596.0700000000002</v>
      </c>
      <c r="E18" s="65">
        <v>3500</v>
      </c>
      <c r="F18" s="65">
        <v>3755.21</v>
      </c>
      <c r="G18" s="65">
        <v>2000</v>
      </c>
      <c r="H18" s="65">
        <v>0</v>
      </c>
      <c r="I18" s="65">
        <v>3000</v>
      </c>
      <c r="J18" s="471">
        <v>4430.32</v>
      </c>
      <c r="K18" s="65">
        <v>4250</v>
      </c>
      <c r="L18" s="65">
        <v>4967.6899999999996</v>
      </c>
      <c r="M18" s="65">
        <v>5000</v>
      </c>
      <c r="N18" s="65">
        <v>3910.95</v>
      </c>
      <c r="O18" s="65">
        <v>5500</v>
      </c>
      <c r="P18" s="65"/>
    </row>
    <row r="19" spans="1:16">
      <c r="A19" s="48" t="s">
        <v>246</v>
      </c>
      <c r="B19" s="9" t="s">
        <v>247</v>
      </c>
      <c r="C19" s="65">
        <v>700</v>
      </c>
      <c r="D19" s="65">
        <v>26.33</v>
      </c>
      <c r="E19" s="65">
        <v>300</v>
      </c>
      <c r="F19" s="65">
        <v>259.74</v>
      </c>
      <c r="G19" s="65">
        <v>400</v>
      </c>
      <c r="H19" s="65">
        <v>252.4</v>
      </c>
      <c r="I19" s="65">
        <v>400</v>
      </c>
      <c r="J19" s="471">
        <v>126.77</v>
      </c>
      <c r="K19" s="65">
        <v>400</v>
      </c>
      <c r="L19" s="65">
        <v>208.86</v>
      </c>
      <c r="M19" s="65">
        <v>400</v>
      </c>
      <c r="N19" s="65">
        <v>284.41000000000003</v>
      </c>
      <c r="O19" s="65">
        <v>400</v>
      </c>
      <c r="P19" s="65"/>
    </row>
    <row r="20" spans="1:16">
      <c r="A20" s="48" t="s">
        <v>248</v>
      </c>
      <c r="B20" s="9" t="s">
        <v>249</v>
      </c>
      <c r="C20" s="65">
        <v>0</v>
      </c>
      <c r="D20" s="65">
        <v>0</v>
      </c>
      <c r="E20" s="65">
        <v>0</v>
      </c>
      <c r="F20" s="65">
        <v>0</v>
      </c>
      <c r="G20" s="65"/>
      <c r="H20" s="65">
        <v>0</v>
      </c>
      <c r="I20" s="65">
        <v>0</v>
      </c>
      <c r="J20" s="65"/>
      <c r="K20" s="65"/>
      <c r="L20" s="65"/>
      <c r="M20" s="65"/>
      <c r="N20" s="65"/>
      <c r="O20" s="65"/>
      <c r="P20" s="65"/>
    </row>
    <row r="21" spans="1:16">
      <c r="A21" s="48"/>
      <c r="B21" s="9" t="s">
        <v>250</v>
      </c>
      <c r="C21" s="65"/>
      <c r="D21" s="65"/>
      <c r="E21" s="65"/>
      <c r="F21" s="65"/>
      <c r="G21" s="65"/>
      <c r="H21" s="65"/>
      <c r="I21" s="65"/>
      <c r="J21" s="65"/>
      <c r="K21" s="65"/>
      <c r="L21" s="65"/>
      <c r="M21" s="65"/>
      <c r="N21" s="65"/>
      <c r="O21" s="65"/>
      <c r="P21" s="65"/>
    </row>
    <row r="22" spans="1:16">
      <c r="B22" s="9" t="s">
        <v>251</v>
      </c>
      <c r="C22" s="65"/>
      <c r="D22" s="65"/>
      <c r="E22" s="65"/>
      <c r="F22" s="65"/>
      <c r="G22" s="65"/>
      <c r="H22" s="65"/>
      <c r="I22" s="65"/>
      <c r="J22" s="65"/>
      <c r="K22" s="65"/>
      <c r="L22" s="65"/>
      <c r="M22" s="44"/>
      <c r="N22" s="65">
        <v>11.44</v>
      </c>
      <c r="O22" s="44"/>
      <c r="P22" s="44"/>
    </row>
    <row r="23" spans="1:16">
      <c r="A23" s="48" t="s">
        <v>252</v>
      </c>
      <c r="B23" s="9" t="s">
        <v>89</v>
      </c>
      <c r="C23" s="65">
        <v>400</v>
      </c>
      <c r="D23" s="65">
        <v>746.32</v>
      </c>
      <c r="E23" s="65">
        <v>400</v>
      </c>
      <c r="F23" s="65">
        <v>142.87</v>
      </c>
      <c r="G23" s="65">
        <v>400</v>
      </c>
      <c r="H23" s="65">
        <v>25.17</v>
      </c>
      <c r="I23" s="65">
        <v>0</v>
      </c>
      <c r="J23" s="65"/>
      <c r="K23" s="65">
        <v>7000</v>
      </c>
      <c r="L23" s="65">
        <v>237.54</v>
      </c>
      <c r="M23" s="65"/>
      <c r="N23" s="65">
        <v>229.91</v>
      </c>
      <c r="O23" s="65"/>
      <c r="P23" s="65"/>
    </row>
    <row r="24" spans="1:16">
      <c r="B24" s="8" t="s">
        <v>13</v>
      </c>
      <c r="C24" s="16">
        <f>SUBTOTAL(109,DirectorofCampusLifeExpenses[Budget 13/14])</f>
        <v>10980</v>
      </c>
      <c r="D24" s="16">
        <f>SUBTOTAL(109,DirectorofCampusLifeExpenses[Actual 13/14])</f>
        <v>4608.07</v>
      </c>
      <c r="E24" s="16">
        <f>SUBTOTAL(109,DirectorofCampusLifeExpenses[Budget 14/15])</f>
        <v>6205</v>
      </c>
      <c r="F24" s="16">
        <f>SUBTOTAL(109,DirectorofCampusLifeExpenses[Actual 14/15])</f>
        <v>5617.79</v>
      </c>
      <c r="G24" s="16">
        <f>SUBTOTAL(109,DirectorofCampusLifeExpenses[Budget 15/16])</f>
        <v>4705</v>
      </c>
      <c r="H24" s="16">
        <f>SUBTOTAL(109,DirectorofCampusLifeExpenses[Actual 15/16])</f>
        <v>1231.8300000000002</v>
      </c>
      <c r="I24" s="16">
        <f>SUBTOTAL(109,DirectorofCampusLifeExpenses[Budget 16/17])</f>
        <v>4600</v>
      </c>
      <c r="J24" s="16">
        <f>SUBTOTAL(109,DirectorofCampusLifeExpenses[Actual 16/17])</f>
        <v>5217.7800000000007</v>
      </c>
      <c r="K24" s="16">
        <f>SUBTOTAL(109,DirectorofCampusLifeExpenses[Budget 17/18])</f>
        <v>12850</v>
      </c>
      <c r="L24" s="16">
        <f>SUM(DirectorofCampusLifeExpenses[Actual 17/18])</f>
        <v>9256.4900000000016</v>
      </c>
      <c r="M24" s="20">
        <f>SUM(DirectorofCampusLifeExpenses[Budget 18/19])</f>
        <v>6300</v>
      </c>
      <c r="N24" s="20">
        <f>SUM(DirectorofCampusLifeExpenses[Actual 18/19])</f>
        <v>5034.3799999999992</v>
      </c>
      <c r="O24" s="20">
        <f>SUM(DirectorofCampusLifeExpenses[Budget 19/20])</f>
        <v>8600</v>
      </c>
      <c r="P24" s="20"/>
    </row>
    <row r="25" spans="1:16" ht="13.5" thickBot="1">
      <c r="C25" s="16"/>
      <c r="D25" s="16"/>
      <c r="E25" s="16"/>
      <c r="F25" s="16"/>
      <c r="G25" s="16"/>
    </row>
    <row r="26" spans="1:16" ht="19.5" thickBot="1">
      <c r="B26" s="452" t="s">
        <v>102</v>
      </c>
      <c r="C26" s="27">
        <f>DirectorofCampusLifeRevenues[[#Totals],[Budget 13/14]]-DirectorofCampusLifeExpenses[[#Totals],[Budget 13/14]]</f>
        <v>-10980</v>
      </c>
      <c r="D26" s="27">
        <f>DirectorofCampusLifeRevenues[[#Totals],[Actual 13/14]]-DirectorofCampusLifeExpenses[[#Totals],[Actual 13/14]]</f>
        <v>-4608.07</v>
      </c>
      <c r="E26" s="27">
        <f>DirectorofCampusLifeRevenues[[#Totals],[Budget 14/15]]-DirectorofCampusLifeExpenses[[#Totals],[Budget 14/15]]</f>
        <v>-6205</v>
      </c>
      <c r="F26" s="27">
        <f>DirectorofCampusLifeRevenues[[#Totals],[Actual 14/15]]-DirectorofCampusLifeExpenses[[#Totals],[Actual 14/15]]</f>
        <v>-5617.79</v>
      </c>
      <c r="G26" s="27">
        <f>DirectorofCampusLifeRevenues[[#Totals],[Budget 15/16]]-DirectorofCampusLifeExpenses[[#Totals],[Budget 15/16]]</f>
        <v>-4705</v>
      </c>
      <c r="H26" s="27">
        <f>DirectorofCampusLifeRevenues[[#Totals],[Actual 15/16]]-DirectorofCampusLifeExpenses[[#Totals],[Actual 15/16]]</f>
        <v>-1231.8300000000002</v>
      </c>
      <c r="I26" s="66">
        <f>DirectorofCampusLifeRevenues[[#Totals],[Budget 16/17]]-DirectorofCampusLifeExpenses[[#Totals],[Budget 16/17]]</f>
        <v>-4600</v>
      </c>
      <c r="J26" s="66">
        <f>DirectorofCampusLifeRevenues[[#Totals],[Actual 16/17]]-DirectorofCampusLifeExpenses[[#Totals],[Actual 16/17]]</f>
        <v>-5217.7800000000007</v>
      </c>
      <c r="K26" s="66">
        <f>DirectorofCampusLifeRevenues[[#Totals],[Budget 17/18]]-DirectorofCampusLifeExpenses[[#Totals],[Budget 17/18]]</f>
        <v>-12850</v>
      </c>
      <c r="L26" s="66">
        <f>DirectorofCampusLifeRevenues[[#Totals],[Actual 17/18]]-DirectorofCampusLifeExpenses[[#Totals],[Actual 17/18]]</f>
        <v>-9256.4900000000016</v>
      </c>
      <c r="M26" s="66">
        <f>DirectorofCampusLifeRevenues[[#Totals],[Budget 18/19]]-DirectorofCampusLifeExpenses[[#Totals],[Budget 18/19]]</f>
        <v>-6300</v>
      </c>
      <c r="N26" s="66">
        <f>DirectorofCampusLifeRevenues[[#Totals],[Actual 18/19]]-DirectorofCampusLifeExpenses[[#Totals],[Actual 18/19]]</f>
        <v>-5034.3799999999992</v>
      </c>
      <c r="O26" s="66">
        <f>DirectorofCampusLifeRevenues[[#Totals],[Budget 18/20]]-DirectorofCampusLifeExpenses[[#Totals],[Budget 19/20]]</f>
        <v>-8600</v>
      </c>
      <c r="P26" s="66"/>
    </row>
  </sheetData>
  <mergeCells count="1">
    <mergeCell ref="A1:C1"/>
  </mergeCells>
  <pageMargins left="0.7" right="0.7" top="0.75" bottom="0.75" header="0.3" footer="0.3"/>
  <pageSetup orientation="portrait" r:id="rId1"/>
  <legacy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1"/>
  </sheetPr>
  <dimension ref="A1:R39"/>
  <sheetViews>
    <sheetView showGridLines="0" zoomScale="90" zoomScaleNormal="90" workbookViewId="0">
      <selection activeCell="P26" sqref="P26"/>
    </sheetView>
  </sheetViews>
  <sheetFormatPr defaultRowHeight="12.75"/>
  <cols>
    <col min="1" max="1" width="13.7109375" customWidth="1"/>
    <col min="2" max="2" width="21.5703125" customWidth="1"/>
    <col min="3" max="3" width="16" hidden="1" customWidth="1"/>
    <col min="4" max="4" width="15" hidden="1" customWidth="1"/>
    <col min="5" max="7" width="16" hidden="1" customWidth="1"/>
    <col min="8" max="8" width="15.7109375" hidden="1" customWidth="1"/>
    <col min="9" max="9" width="16" hidden="1" customWidth="1"/>
    <col min="10" max="10" width="15.7109375" hidden="1" customWidth="1"/>
    <col min="11" max="11" width="16" bestFit="1" customWidth="1"/>
    <col min="12" max="12" width="17.140625" customWidth="1"/>
    <col min="13" max="13" width="17.28515625" customWidth="1"/>
    <col min="14" max="15" width="16" bestFit="1" customWidth="1"/>
  </cols>
  <sheetData>
    <row r="1" spans="1:18" ht="18">
      <c r="A1" s="534" t="s">
        <v>253</v>
      </c>
      <c r="B1" s="534"/>
      <c r="C1" s="8"/>
      <c r="D1" s="8"/>
      <c r="E1" s="8"/>
      <c r="F1" s="8"/>
      <c r="G1" s="8"/>
      <c r="H1" s="8"/>
      <c r="I1" s="8"/>
      <c r="J1" s="8"/>
      <c r="K1" s="8"/>
      <c r="L1" s="8"/>
      <c r="M1" s="8"/>
      <c r="N1" s="8"/>
      <c r="O1" s="8"/>
    </row>
    <row r="2" spans="1:18">
      <c r="A2" s="28" t="s">
        <v>186</v>
      </c>
      <c r="B2" s="8"/>
      <c r="C2" s="8"/>
      <c r="D2" s="8"/>
      <c r="E2" s="8"/>
      <c r="F2" s="8"/>
      <c r="G2" s="8"/>
      <c r="H2" s="8"/>
      <c r="I2" s="8"/>
      <c r="J2" s="8"/>
      <c r="K2" s="8"/>
      <c r="L2" s="8"/>
      <c r="M2" s="8"/>
      <c r="N2" s="8"/>
      <c r="O2" s="8"/>
    </row>
    <row r="3" spans="1:18">
      <c r="A3" s="8"/>
      <c r="B3" s="8"/>
      <c r="C3" s="8"/>
      <c r="D3" s="8"/>
      <c r="E3" s="8"/>
      <c r="F3" s="8"/>
      <c r="G3" s="8"/>
      <c r="H3" s="8"/>
      <c r="I3" s="8"/>
      <c r="J3" s="8"/>
      <c r="K3" s="8"/>
      <c r="L3" s="8"/>
      <c r="M3" s="8"/>
      <c r="N3" s="8"/>
      <c r="O3" s="8"/>
    </row>
    <row r="4" spans="1:18">
      <c r="A4" s="51"/>
      <c r="B4" s="9" t="s">
        <v>47</v>
      </c>
      <c r="C4" s="9" t="s">
        <v>54</v>
      </c>
      <c r="D4" s="9" t="s">
        <v>55</v>
      </c>
      <c r="E4" s="9" t="s">
        <v>56</v>
      </c>
      <c r="F4" s="9" t="s">
        <v>104</v>
      </c>
      <c r="G4" s="9" t="s">
        <v>29</v>
      </c>
      <c r="H4" s="9" t="s">
        <v>30</v>
      </c>
      <c r="I4" s="9" t="s">
        <v>31</v>
      </c>
      <c r="J4" s="9" t="s">
        <v>32</v>
      </c>
      <c r="K4" s="9" t="s">
        <v>33</v>
      </c>
      <c r="L4" s="9" t="s">
        <v>34</v>
      </c>
      <c r="M4" s="9" t="s">
        <v>6</v>
      </c>
      <c r="N4" s="9" t="s">
        <v>7</v>
      </c>
      <c r="O4" s="9" t="s">
        <v>8</v>
      </c>
      <c r="P4" s="9" t="s">
        <v>35</v>
      </c>
    </row>
    <row r="5" spans="1:18">
      <c r="A5" s="51"/>
      <c r="B5" s="9" t="s">
        <v>157</v>
      </c>
      <c r="C5" s="62">
        <v>0</v>
      </c>
      <c r="D5" s="62">
        <v>0</v>
      </c>
      <c r="E5" s="62">
        <v>0</v>
      </c>
      <c r="F5" s="62">
        <v>0</v>
      </c>
      <c r="G5" s="62">
        <v>0</v>
      </c>
      <c r="H5" s="62">
        <v>0</v>
      </c>
      <c r="I5" s="62">
        <v>0</v>
      </c>
      <c r="J5" s="62"/>
      <c r="K5" s="62"/>
      <c r="L5" s="62"/>
      <c r="M5" s="62"/>
      <c r="N5" s="62"/>
      <c r="O5" s="62"/>
      <c r="P5" s="62"/>
    </row>
    <row r="6" spans="1:18">
      <c r="A6" s="51"/>
      <c r="B6" s="9" t="s">
        <v>232</v>
      </c>
      <c r="C6" s="62">
        <v>0</v>
      </c>
      <c r="D6" s="62">
        <v>0</v>
      </c>
      <c r="E6" s="62">
        <v>0</v>
      </c>
      <c r="F6" s="62">
        <v>0</v>
      </c>
      <c r="G6" s="62">
        <v>0</v>
      </c>
      <c r="H6" s="62">
        <v>0</v>
      </c>
      <c r="I6" s="62">
        <v>0</v>
      </c>
      <c r="J6" s="62"/>
      <c r="K6" s="62"/>
      <c r="L6" s="62"/>
      <c r="M6" s="62"/>
      <c r="N6" s="62"/>
      <c r="O6" s="62"/>
      <c r="P6" s="62"/>
    </row>
    <row r="7" spans="1:18">
      <c r="A7" s="67"/>
      <c r="B7" s="8" t="s">
        <v>13</v>
      </c>
      <c r="C7" s="16">
        <f>SUBTOTAL(109,ServicesManagerRevenues[Budget 13/14])</f>
        <v>0</v>
      </c>
      <c r="D7" s="16">
        <f>SUBTOTAL(109,ServicesManagerRevenues[Actual 13/14])</f>
        <v>0</v>
      </c>
      <c r="E7" s="16">
        <f>SUBTOTAL(109,ServicesManagerRevenues[Budget 14/15])</f>
        <v>0</v>
      </c>
      <c r="F7" s="16">
        <f>SUBTOTAL(109,ServicesManagerRevenues[Actual 14/15])</f>
        <v>0</v>
      </c>
      <c r="G7" s="16">
        <f>SUBTOTAL(109,ServicesManagerRevenues[Budget 15/16])</f>
        <v>0</v>
      </c>
      <c r="H7" s="16">
        <f>SUBTOTAL(109,ServicesManagerRevenues[Actual 15/16])</f>
        <v>0</v>
      </c>
      <c r="I7" s="16">
        <f>SUBTOTAL(109,ServicesManagerRevenues[Budget 16/17])</f>
        <v>0</v>
      </c>
      <c r="J7" s="8"/>
      <c r="K7" s="8"/>
      <c r="L7" s="8"/>
      <c r="M7" s="8"/>
      <c r="N7" s="8"/>
      <c r="O7" s="8"/>
      <c r="P7" s="8"/>
    </row>
    <row r="8" spans="1:18">
      <c r="B8" s="8"/>
      <c r="C8" s="16"/>
      <c r="D8" s="16"/>
      <c r="E8" s="16"/>
      <c r="F8" s="16"/>
      <c r="G8" s="16"/>
      <c r="H8" s="16"/>
      <c r="I8" s="16"/>
      <c r="J8" s="8"/>
      <c r="K8" s="8"/>
      <c r="L8" s="8"/>
      <c r="M8" s="8"/>
      <c r="N8" s="8"/>
      <c r="O8" s="8"/>
    </row>
    <row r="9" spans="1:18">
      <c r="A9" s="48" t="s">
        <v>107</v>
      </c>
      <c r="B9" s="8" t="s">
        <v>61</v>
      </c>
      <c r="C9" s="8" t="s">
        <v>54</v>
      </c>
      <c r="D9" s="8" t="s">
        <v>55</v>
      </c>
      <c r="E9" s="8" t="s">
        <v>56</v>
      </c>
      <c r="F9" s="8" t="s">
        <v>104</v>
      </c>
      <c r="G9" s="8" t="s">
        <v>29</v>
      </c>
      <c r="H9" s="9" t="s">
        <v>30</v>
      </c>
      <c r="I9" s="9" t="s">
        <v>31</v>
      </c>
      <c r="J9" s="9" t="s">
        <v>32</v>
      </c>
      <c r="K9" s="9" t="s">
        <v>33</v>
      </c>
      <c r="L9" s="9" t="s">
        <v>34</v>
      </c>
      <c r="M9" s="9" t="s">
        <v>6</v>
      </c>
      <c r="N9" s="9" t="s">
        <v>7</v>
      </c>
      <c r="O9" s="9" t="s">
        <v>8</v>
      </c>
      <c r="P9" s="9" t="s">
        <v>35</v>
      </c>
      <c r="Q9" s="8"/>
      <c r="R9" s="8"/>
    </row>
    <row r="10" spans="1:18">
      <c r="A10" s="48" t="s">
        <v>254</v>
      </c>
      <c r="B10" s="8" t="s">
        <v>255</v>
      </c>
      <c r="C10" s="15">
        <v>7200</v>
      </c>
      <c r="D10" s="15">
        <v>4800</v>
      </c>
      <c r="E10" s="15">
        <v>8400</v>
      </c>
      <c r="F10" s="15">
        <v>9882.7800000000007</v>
      </c>
      <c r="G10" s="15">
        <v>14000</v>
      </c>
      <c r="H10" s="15">
        <v>9866.01</v>
      </c>
      <c r="I10" s="15">
        <v>25200</v>
      </c>
      <c r="J10" s="15">
        <v>21417.200000000001</v>
      </c>
      <c r="K10" s="15">
        <v>29700</v>
      </c>
      <c r="L10" s="15">
        <v>28870</v>
      </c>
      <c r="M10" s="15">
        <v>32000</v>
      </c>
      <c r="N10" s="15">
        <v>29077.62</v>
      </c>
      <c r="O10" s="15">
        <v>30000</v>
      </c>
      <c r="P10" s="15"/>
      <c r="Q10" s="8"/>
      <c r="R10" s="8"/>
    </row>
    <row r="11" spans="1:18">
      <c r="A11" s="48" t="s">
        <v>256</v>
      </c>
      <c r="B11" s="8" t="s">
        <v>116</v>
      </c>
      <c r="C11" s="15">
        <v>2250</v>
      </c>
      <c r="D11" s="64">
        <v>1453.19</v>
      </c>
      <c r="E11" s="15">
        <v>2610</v>
      </c>
      <c r="F11" s="15">
        <v>3346.44</v>
      </c>
      <c r="G11" s="68">
        <v>3480</v>
      </c>
      <c r="H11" s="15">
        <v>1684.23</v>
      </c>
      <c r="I11" s="15">
        <v>4200</v>
      </c>
      <c r="J11" s="15">
        <v>4681.38</v>
      </c>
      <c r="K11" s="15">
        <v>3960</v>
      </c>
      <c r="L11" s="15">
        <v>3693.8</v>
      </c>
      <c r="M11" s="15">
        <v>4320</v>
      </c>
      <c r="N11" s="15">
        <v>3853.06</v>
      </c>
      <c r="O11" s="15">
        <v>3600</v>
      </c>
      <c r="P11" s="15"/>
      <c r="Q11" s="8"/>
      <c r="R11" s="8"/>
    </row>
    <row r="12" spans="1:18">
      <c r="A12" s="48" t="s">
        <v>257</v>
      </c>
      <c r="B12" s="8" t="s">
        <v>258</v>
      </c>
      <c r="C12" s="15">
        <v>0</v>
      </c>
      <c r="D12" s="64">
        <v>68.53</v>
      </c>
      <c r="E12" s="15">
        <v>0</v>
      </c>
      <c r="F12" s="15">
        <v>1.47</v>
      </c>
      <c r="G12" s="15">
        <v>0</v>
      </c>
      <c r="H12" s="15">
        <v>0</v>
      </c>
      <c r="I12" s="15">
        <v>0</v>
      </c>
      <c r="J12" s="15">
        <v>20.05</v>
      </c>
      <c r="K12" s="15"/>
      <c r="L12" s="15">
        <v>33.81</v>
      </c>
      <c r="M12" s="15">
        <v>100</v>
      </c>
      <c r="N12" s="15">
        <v>100</v>
      </c>
      <c r="O12" s="15">
        <v>100</v>
      </c>
      <c r="P12" s="15"/>
      <c r="Q12" s="8"/>
      <c r="R12" s="8"/>
    </row>
    <row r="13" spans="1:18">
      <c r="A13" s="48" t="s">
        <v>259</v>
      </c>
      <c r="B13" s="8" t="s">
        <v>260</v>
      </c>
      <c r="C13" s="15"/>
      <c r="D13" s="64"/>
      <c r="E13" s="15"/>
      <c r="F13" s="15"/>
      <c r="G13" s="68"/>
      <c r="H13" s="15"/>
      <c r="I13" s="15"/>
      <c r="J13" s="15"/>
      <c r="K13" s="15"/>
      <c r="L13" s="15"/>
      <c r="M13" s="15"/>
      <c r="N13" s="15"/>
      <c r="O13" s="15">
        <v>750</v>
      </c>
      <c r="P13" s="15"/>
      <c r="Q13" s="8"/>
      <c r="R13" s="8"/>
    </row>
    <row r="14" spans="1:18">
      <c r="A14" s="48" t="s">
        <v>261</v>
      </c>
      <c r="B14" s="8" t="s">
        <v>81</v>
      </c>
      <c r="C14" s="15">
        <f>600+720+2100</f>
        <v>3420</v>
      </c>
      <c r="D14" s="15">
        <v>1041.33</v>
      </c>
      <c r="E14" s="15">
        <v>1075</v>
      </c>
      <c r="F14" s="15">
        <v>1040.02</v>
      </c>
      <c r="G14" s="68">
        <v>1075</v>
      </c>
      <c r="H14" s="15">
        <v>667.22</v>
      </c>
      <c r="I14" s="15">
        <v>750</v>
      </c>
      <c r="J14" s="15">
        <v>718.1</v>
      </c>
      <c r="K14" s="15">
        <v>750</v>
      </c>
      <c r="L14" s="15">
        <v>1023.11</v>
      </c>
      <c r="M14" s="15">
        <v>1000</v>
      </c>
      <c r="N14" s="15">
        <v>917.8</v>
      </c>
      <c r="O14" s="15">
        <v>390</v>
      </c>
      <c r="P14" s="15"/>
      <c r="Q14" s="8"/>
      <c r="R14" s="8"/>
    </row>
    <row r="15" spans="1:18">
      <c r="A15" s="48"/>
      <c r="B15" s="8" t="s">
        <v>247</v>
      </c>
      <c r="C15" s="15">
        <v>0</v>
      </c>
      <c r="D15" s="64">
        <v>29.34</v>
      </c>
      <c r="E15" s="15">
        <v>0</v>
      </c>
      <c r="F15" s="15">
        <v>0</v>
      </c>
      <c r="G15" s="15">
        <v>0</v>
      </c>
      <c r="H15" s="15">
        <v>0</v>
      </c>
      <c r="I15" s="15">
        <v>0</v>
      </c>
      <c r="J15" s="15"/>
      <c r="K15" s="15"/>
      <c r="L15" s="15"/>
      <c r="M15" s="15"/>
      <c r="N15" s="15"/>
      <c r="O15" s="15"/>
      <c r="P15" s="15"/>
      <c r="Q15" s="8"/>
      <c r="R15" s="8"/>
    </row>
    <row r="16" spans="1:18">
      <c r="A16" s="48" t="s">
        <v>254</v>
      </c>
      <c r="B16" s="8" t="s">
        <v>262</v>
      </c>
      <c r="C16" s="15">
        <v>0</v>
      </c>
      <c r="D16" s="64">
        <v>0</v>
      </c>
      <c r="E16" s="15">
        <v>0</v>
      </c>
      <c r="F16" s="69">
        <v>0</v>
      </c>
      <c r="G16" s="68">
        <v>600</v>
      </c>
      <c r="H16" s="15">
        <v>254.25</v>
      </c>
      <c r="I16" s="15">
        <v>600</v>
      </c>
      <c r="J16" s="15"/>
      <c r="K16" s="15">
        <v>600</v>
      </c>
      <c r="L16" s="201"/>
      <c r="M16" s="15"/>
      <c r="N16" s="15"/>
      <c r="O16" s="15"/>
      <c r="P16" s="15"/>
      <c r="Q16" s="8"/>
      <c r="R16" s="8"/>
    </row>
    <row r="17" spans="1:18">
      <c r="A17" s="48" t="s">
        <v>263</v>
      </c>
      <c r="B17" s="8" t="s">
        <v>89</v>
      </c>
      <c r="C17" s="15">
        <v>500</v>
      </c>
      <c r="D17" s="64">
        <v>792.97</v>
      </c>
      <c r="E17" s="15">
        <v>500</v>
      </c>
      <c r="F17" s="15">
        <v>538.24</v>
      </c>
      <c r="G17" s="68">
        <v>500</v>
      </c>
      <c r="H17" s="15">
        <v>691.52</v>
      </c>
      <c r="I17" s="15">
        <v>500</v>
      </c>
      <c r="J17" s="15">
        <v>304.04000000000002</v>
      </c>
      <c r="K17" s="15">
        <v>500</v>
      </c>
      <c r="L17" s="15">
        <v>1452.02</v>
      </c>
      <c r="M17" s="15">
        <v>375</v>
      </c>
      <c r="N17" s="15">
        <f>30523.23-29077.62</f>
        <v>1445.6100000000006</v>
      </c>
      <c r="O17" s="15">
        <v>375</v>
      </c>
      <c r="P17" s="15"/>
      <c r="Q17" s="8"/>
      <c r="R17" s="8"/>
    </row>
    <row r="18" spans="1:18">
      <c r="A18" s="48" t="s">
        <v>261</v>
      </c>
      <c r="B18" s="8" t="s">
        <v>77</v>
      </c>
      <c r="C18" s="15">
        <v>75</v>
      </c>
      <c r="D18" s="64">
        <v>142.84</v>
      </c>
      <c r="E18" s="15">
        <v>100</v>
      </c>
      <c r="F18" s="15">
        <v>216.74</v>
      </c>
      <c r="G18" s="68">
        <v>225</v>
      </c>
      <c r="H18" s="15">
        <v>207.27</v>
      </c>
      <c r="I18" s="15">
        <v>200</v>
      </c>
      <c r="J18" s="15"/>
      <c r="K18" s="15">
        <v>200</v>
      </c>
      <c r="L18" s="15">
        <v>135.34</v>
      </c>
      <c r="M18" s="15">
        <v>100</v>
      </c>
      <c r="N18" s="15">
        <v>285.85000000000002</v>
      </c>
      <c r="O18" s="15">
        <v>100</v>
      </c>
      <c r="P18" s="15"/>
      <c r="Q18" s="8"/>
      <c r="R18" s="8"/>
    </row>
    <row r="19" spans="1:18">
      <c r="A19" s="67"/>
      <c r="B19" s="8" t="s">
        <v>70</v>
      </c>
      <c r="C19" s="15">
        <v>350</v>
      </c>
      <c r="D19" s="64">
        <v>45.7</v>
      </c>
      <c r="E19" s="15">
        <v>350</v>
      </c>
      <c r="F19" s="15">
        <v>274.94</v>
      </c>
      <c r="G19" s="68">
        <v>350</v>
      </c>
      <c r="H19" s="15">
        <v>252.85</v>
      </c>
      <c r="I19" s="15">
        <v>350</v>
      </c>
      <c r="J19" s="15">
        <v>251.85</v>
      </c>
      <c r="K19" s="15">
        <v>350</v>
      </c>
      <c r="L19" s="15">
        <v>229.28</v>
      </c>
      <c r="M19" s="15">
        <v>350</v>
      </c>
      <c r="N19" s="15">
        <v>246.83</v>
      </c>
      <c r="O19" s="15">
        <v>350</v>
      </c>
      <c r="P19" s="15"/>
      <c r="Q19" s="8"/>
      <c r="R19" s="8"/>
    </row>
    <row r="20" spans="1:18">
      <c r="A20" s="207" t="s">
        <v>264</v>
      </c>
      <c r="B20" s="8" t="s">
        <v>265</v>
      </c>
      <c r="C20" s="15">
        <v>0</v>
      </c>
      <c r="D20" s="15">
        <v>0</v>
      </c>
      <c r="E20" s="15">
        <v>0</v>
      </c>
      <c r="F20" s="15">
        <v>0</v>
      </c>
      <c r="G20" s="15">
        <v>0</v>
      </c>
      <c r="H20" s="15">
        <v>0</v>
      </c>
      <c r="I20" s="15">
        <v>350</v>
      </c>
      <c r="J20" s="15"/>
      <c r="K20" s="15">
        <v>350</v>
      </c>
      <c r="L20" s="201"/>
      <c r="M20" s="15"/>
      <c r="N20" s="15"/>
      <c r="O20" s="15"/>
      <c r="P20" s="15"/>
      <c r="Q20" s="8"/>
      <c r="R20" s="8"/>
    </row>
    <row r="21" spans="1:18">
      <c r="A21" s="67"/>
      <c r="B21" s="8" t="s">
        <v>66</v>
      </c>
      <c r="C21" s="15"/>
      <c r="D21" s="472"/>
      <c r="E21" s="15"/>
      <c r="F21" s="15"/>
      <c r="G21" s="68"/>
      <c r="H21" s="15"/>
      <c r="I21" s="15"/>
      <c r="J21" s="15"/>
      <c r="K21" s="15"/>
      <c r="L21" s="15"/>
      <c r="M21" s="15">
        <v>6830</v>
      </c>
      <c r="N21" s="15">
        <v>4656.7700000000004</v>
      </c>
      <c r="O21" s="389">
        <v>11606.4</v>
      </c>
      <c r="P21" s="15"/>
    </row>
    <row r="22" spans="1:18" s="8" customFormat="1">
      <c r="B22" s="8" t="s">
        <v>13</v>
      </c>
      <c r="C22" s="359">
        <f>SUBTOTAL(109,ServicesManagerExpenses[Budget 13/14])</f>
        <v>13795</v>
      </c>
      <c r="D22" s="359">
        <f>SUBTOTAL(109,ServicesManagerExpenses[Actual 13/14])</f>
        <v>8373.9000000000015</v>
      </c>
      <c r="E22" s="359">
        <f>SUBTOTAL(109,ServicesManagerExpenses[Budget 14/15])</f>
        <v>13035</v>
      </c>
      <c r="F22" s="359">
        <f>SUBTOTAL(109,ServicesManagerExpenses[Actual 14/15])</f>
        <v>15300.630000000001</v>
      </c>
      <c r="G22" s="359">
        <f>SUBTOTAL(109,ServicesManagerExpenses[Budget 15/16])</f>
        <v>20230</v>
      </c>
      <c r="H22" s="359">
        <f>SUBTOTAL(109,ServicesManagerExpenses[Actual 15/16])</f>
        <v>13623.35</v>
      </c>
      <c r="I22" s="359">
        <f>SUBTOTAL(109,ServicesManagerExpenses[Budget 16/17])</f>
        <v>32150</v>
      </c>
      <c r="J22" s="359">
        <f>SUBTOTAL(109,ServicesManagerExpenses[Actual 16/17])</f>
        <v>27392.62</v>
      </c>
      <c r="K22" s="359">
        <f>SUBTOTAL(109,ServicesManagerExpenses[Budget 17/18])</f>
        <v>36410</v>
      </c>
      <c r="L22" s="358">
        <f>SUM(ServicesManagerExpenses[Actual 17/18])</f>
        <v>35437.359999999993</v>
      </c>
      <c r="M22" s="358">
        <f>SUM(ServicesManagerExpenses[Budget 18/19])</f>
        <v>45075</v>
      </c>
      <c r="N22" s="358">
        <f>SUM(ServicesManagerExpenses[Actual 18/19])</f>
        <v>40583.540000000008</v>
      </c>
      <c r="O22" s="358">
        <f>SUBTOTAL(109,O10:O21)</f>
        <v>47271.4</v>
      </c>
      <c r="P22" s="20"/>
    </row>
    <row r="23" spans="1:18" ht="13.5" thickBot="1">
      <c r="A23" s="67"/>
      <c r="B23" s="8"/>
      <c r="C23" s="8"/>
      <c r="D23" s="8"/>
      <c r="E23" s="8"/>
      <c r="F23" s="69"/>
      <c r="G23" s="68"/>
      <c r="H23" s="8"/>
      <c r="I23" s="8"/>
      <c r="J23" s="8"/>
      <c r="K23" s="8"/>
      <c r="L23" s="8"/>
      <c r="M23" s="8"/>
      <c r="N23" s="8"/>
      <c r="O23" s="8"/>
    </row>
    <row r="24" spans="1:18" ht="19.5" thickBot="1">
      <c r="A24" s="8"/>
      <c r="B24" s="452" t="s">
        <v>102</v>
      </c>
      <c r="C24" s="27">
        <f>ServicesManagerRevenues[[#Totals],[Budget 13/14]]-ServicesManagerExpenses[[#Totals],[Budget 13/14]]</f>
        <v>-13795</v>
      </c>
      <c r="D24" s="27">
        <f>ServicesManagerRevenues[[#Totals],[Actual 13/14]]-ServicesManagerExpenses[[#Totals],[Actual 13/14]]</f>
        <v>-8373.9000000000015</v>
      </c>
      <c r="E24" s="27">
        <f>ServicesManagerRevenues[[#Totals],[Budget 14/15]]-ServicesManagerExpenses[[#Totals],[Budget 14/15]]</f>
        <v>-13035</v>
      </c>
      <c r="F24" s="27">
        <f>ServicesManagerRevenues[[#Totals],[Actual 14/15]]-ServicesManagerExpenses[[#Totals],[Actual 14/15]]</f>
        <v>-15300.630000000001</v>
      </c>
      <c r="G24" s="27">
        <f>ServicesManagerRevenues[[#Totals],[Budget 15/16]]-ServicesManagerExpenses[[#Totals],[Budget 15/16]]</f>
        <v>-20230</v>
      </c>
      <c r="H24" s="27">
        <f>ServicesManagerRevenues[[#Totals],[Actual 15/16]]-ServicesManagerExpenses[[#Totals],[Actual 15/16]]</f>
        <v>-13623.35</v>
      </c>
      <c r="I24" s="66">
        <f>ServicesManagerRevenues[[#Totals],[Budget 16/17]]-ServicesManagerExpenses[[#Totals],[Budget 16/17]]</f>
        <v>-32150</v>
      </c>
      <c r="J24" s="66">
        <f>ServicesManagerRevenues[[#Totals],[Actual 16/17]]-ServicesManagerExpenses[[#Totals],[Actual 16/17]]</f>
        <v>-27392.62</v>
      </c>
      <c r="K24" s="66">
        <f>ServicesManagerRevenues[[#Totals],[Budget 17/18]]-ServicesManagerExpenses[[#Totals],[Budget 17/18]]</f>
        <v>-36410</v>
      </c>
      <c r="L24" s="66">
        <f>ServicesManagerRevenues[[#Totals],[Actual 17/18]]-ServicesManagerExpenses[[#Totals],[Actual 17/18]]</f>
        <v>-35437.359999999993</v>
      </c>
      <c r="M24" s="66">
        <f>ServicesManagerRevenues[[#Totals],[Budget 18/19]]-ServicesManagerExpenses[[#Totals],[Budget 18/19]]</f>
        <v>-45075</v>
      </c>
      <c r="N24" s="66">
        <f>ServicesManagerRevenues[[#Totals],[Actual 18/19]]-ServicesManagerExpenses[[#Totals],[Actual 18/19]]</f>
        <v>-40583.540000000008</v>
      </c>
      <c r="O24" s="66">
        <f>ServicesManagerRevenues[[#Totals],[Budget 19/20]]-ServicesManagerExpenses[[#Totals],[Budget 19/20]]</f>
        <v>-47271.4</v>
      </c>
      <c r="P24" s="66"/>
    </row>
    <row r="25" spans="1:18">
      <c r="A25" s="8"/>
      <c r="B25" s="67"/>
      <c r="C25" s="15"/>
      <c r="D25" s="15"/>
      <c r="E25" s="15"/>
      <c r="F25" s="69"/>
      <c r="G25" s="70"/>
      <c r="H25" s="8"/>
      <c r="I25" s="8"/>
      <c r="J25" s="8"/>
      <c r="K25" s="8"/>
      <c r="L25" s="8"/>
      <c r="M25" s="8"/>
      <c r="N25" s="8"/>
      <c r="O25" s="8"/>
    </row>
    <row r="26" spans="1:18">
      <c r="A26" s="8"/>
      <c r="B26" s="26"/>
      <c r="C26" s="20"/>
      <c r="D26" s="20"/>
      <c r="E26" s="20"/>
      <c r="F26" s="20"/>
      <c r="G26" s="20"/>
      <c r="H26" s="8"/>
      <c r="I26" s="8"/>
      <c r="J26" s="8"/>
      <c r="K26" s="8"/>
      <c r="L26" s="8"/>
      <c r="M26" s="8"/>
      <c r="N26" s="20"/>
      <c r="O26" s="8"/>
    </row>
    <row r="27" spans="1:18">
      <c r="A27" s="8"/>
      <c r="B27" s="67"/>
      <c r="C27" s="15"/>
      <c r="D27" s="15"/>
      <c r="E27" s="15"/>
      <c r="F27" s="15"/>
      <c r="G27" s="15"/>
      <c r="H27" s="8"/>
      <c r="I27" s="8"/>
      <c r="J27" s="8"/>
      <c r="K27" s="8"/>
      <c r="L27" s="8"/>
      <c r="M27" s="8"/>
      <c r="N27" s="8"/>
      <c r="O27" s="8"/>
    </row>
    <row r="28" spans="1:18">
      <c r="A28" s="8"/>
      <c r="B28" s="8"/>
      <c r="C28" s="8"/>
      <c r="D28" s="8"/>
      <c r="E28" s="8"/>
      <c r="F28" s="8"/>
      <c r="G28" s="8"/>
      <c r="H28" s="8"/>
      <c r="I28" s="8"/>
      <c r="J28" s="8"/>
      <c r="K28" s="8"/>
      <c r="L28" s="8"/>
      <c r="M28" s="8"/>
      <c r="N28" s="8"/>
      <c r="O28" s="20"/>
    </row>
    <row r="29" spans="1:18">
      <c r="A29" s="8"/>
      <c r="B29" s="8"/>
      <c r="C29" s="8"/>
      <c r="D29" s="8"/>
      <c r="E29" s="8"/>
      <c r="F29" s="8"/>
      <c r="G29" s="8"/>
      <c r="H29" s="8"/>
      <c r="I29" s="8"/>
      <c r="J29" s="8"/>
      <c r="K29" s="8"/>
      <c r="L29" s="8"/>
      <c r="M29" s="8"/>
      <c r="N29" s="8"/>
      <c r="O29" s="8"/>
    </row>
    <row r="30" spans="1:18">
      <c r="A30" s="8"/>
      <c r="B30" s="8"/>
      <c r="C30" s="8"/>
      <c r="D30" s="8"/>
      <c r="E30" s="8"/>
      <c r="F30" s="8"/>
      <c r="G30" s="8"/>
      <c r="H30" s="8"/>
      <c r="I30" s="8"/>
      <c r="J30" s="8"/>
      <c r="K30" s="8"/>
      <c r="L30" s="8"/>
      <c r="M30" s="8"/>
      <c r="N30" s="8"/>
      <c r="O30" s="8"/>
    </row>
    <row r="31" spans="1:18">
      <c r="A31" s="8"/>
      <c r="B31" s="8"/>
      <c r="C31" s="8"/>
      <c r="D31" s="8"/>
      <c r="E31" s="8"/>
      <c r="F31" s="8"/>
      <c r="G31" s="8"/>
      <c r="H31" s="8"/>
      <c r="I31" s="8"/>
      <c r="J31" s="8"/>
      <c r="K31" s="8"/>
      <c r="L31" s="8"/>
      <c r="M31" s="8"/>
      <c r="N31" s="8"/>
      <c r="O31" s="8"/>
    </row>
    <row r="32" spans="1:18">
      <c r="A32" s="8"/>
      <c r="B32" s="8"/>
      <c r="C32" s="8"/>
      <c r="D32" s="8"/>
      <c r="E32" s="8"/>
      <c r="F32" s="8"/>
      <c r="G32" s="8"/>
      <c r="H32" s="8"/>
      <c r="I32" s="8"/>
      <c r="J32" s="8"/>
      <c r="K32" s="8"/>
      <c r="L32" s="8"/>
      <c r="M32" s="8"/>
      <c r="N32" s="8"/>
      <c r="O32" s="8"/>
    </row>
    <row r="33" spans="1:15">
      <c r="A33" s="8"/>
      <c r="B33" s="8"/>
      <c r="C33" s="8"/>
      <c r="D33" s="8"/>
      <c r="E33" s="8"/>
      <c r="F33" s="8"/>
      <c r="G33" s="8"/>
      <c r="H33" s="8"/>
      <c r="I33" s="8"/>
      <c r="J33" s="8"/>
      <c r="K33" s="8"/>
      <c r="L33" s="8"/>
      <c r="M33" s="8"/>
      <c r="N33" s="8"/>
      <c r="O33" s="8"/>
    </row>
    <row r="34" spans="1:15">
      <c r="A34" s="8"/>
      <c r="B34" s="8"/>
      <c r="C34" s="8"/>
      <c r="D34" s="8"/>
      <c r="E34" s="8"/>
      <c r="F34" s="8"/>
      <c r="G34" s="8"/>
      <c r="H34" s="8"/>
      <c r="I34" s="8"/>
      <c r="J34" s="8"/>
      <c r="K34" s="8"/>
      <c r="L34" s="8"/>
      <c r="M34" s="8"/>
      <c r="N34" s="8"/>
      <c r="O34" s="8"/>
    </row>
    <row r="35" spans="1:15">
      <c r="A35" s="8"/>
      <c r="B35" s="8"/>
      <c r="C35" s="8"/>
      <c r="D35" s="8"/>
      <c r="E35" s="8"/>
      <c r="F35" s="8"/>
      <c r="G35" s="8"/>
      <c r="H35" s="8"/>
      <c r="I35" s="8"/>
      <c r="J35" s="8"/>
      <c r="K35" s="8"/>
      <c r="L35" s="8"/>
      <c r="M35" s="8"/>
      <c r="N35" s="8"/>
      <c r="O35" s="8"/>
    </row>
    <row r="36" spans="1:15">
      <c r="B36" s="8"/>
      <c r="C36" s="8"/>
      <c r="D36" s="8"/>
      <c r="E36" s="8"/>
      <c r="F36" s="8"/>
      <c r="G36" s="8"/>
      <c r="H36" s="8"/>
      <c r="I36" s="8"/>
      <c r="J36" s="8"/>
      <c r="K36" s="8"/>
      <c r="L36" s="8"/>
      <c r="M36" s="8"/>
      <c r="N36" s="8"/>
      <c r="O36" s="8"/>
    </row>
    <row r="37" spans="1:15">
      <c r="B37" s="8"/>
      <c r="C37" s="8"/>
      <c r="D37" s="8"/>
      <c r="E37" s="8"/>
      <c r="F37" s="8"/>
      <c r="G37" s="8"/>
      <c r="H37" s="8"/>
      <c r="I37" s="8"/>
    </row>
    <row r="38" spans="1:15">
      <c r="B38" s="8"/>
      <c r="C38" s="8"/>
      <c r="D38" s="8"/>
      <c r="E38" s="8"/>
      <c r="F38" s="8"/>
      <c r="G38" s="8"/>
      <c r="H38" s="8"/>
      <c r="I38" s="8"/>
    </row>
    <row r="39" spans="1:15">
      <c r="B39" s="8"/>
      <c r="C39" s="8"/>
      <c r="D39" s="8"/>
      <c r="E39" s="8"/>
      <c r="F39" s="8"/>
      <c r="G39" s="8"/>
    </row>
  </sheetData>
  <mergeCells count="1">
    <mergeCell ref="A1:B1"/>
  </mergeCells>
  <pageMargins left="0.7" right="0.7" top="0.75" bottom="0.75" header="0.3" footer="0.3"/>
  <pageSetup orientation="portrait" r:id="rId1"/>
  <legacyDrawing r:id="rId2"/>
  <tableParts count="2">
    <tablePart r:id="rId3"/>
    <tablePart r:id="rId4"/>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theme="1"/>
    <pageSetUpPr fitToPage="1"/>
  </sheetPr>
  <dimension ref="A1:Y54"/>
  <sheetViews>
    <sheetView showGridLines="0" topLeftCell="A4" zoomScale="90" zoomScaleNormal="90" workbookViewId="0">
      <selection activeCell="W10" sqref="W10"/>
    </sheetView>
  </sheetViews>
  <sheetFormatPr defaultColWidth="11.42578125" defaultRowHeight="12.75"/>
  <cols>
    <col min="1" max="1" width="13.85546875" style="126" customWidth="1"/>
    <col min="2" max="2" width="24.5703125" style="126" customWidth="1"/>
    <col min="3" max="13" width="16.85546875" style="126" hidden="1" customWidth="1"/>
    <col min="14" max="14" width="16" style="176" hidden="1" customWidth="1"/>
    <col min="15" max="15" width="16" style="126" hidden="1" customWidth="1"/>
    <col min="16" max="16" width="15.85546875" style="126" hidden="1" customWidth="1"/>
    <col min="17" max="17" width="17.28515625" style="126" customWidth="1"/>
    <col min="18" max="18" width="17.7109375" style="126" customWidth="1"/>
    <col min="19" max="20" width="18.85546875" style="126" customWidth="1"/>
    <col min="21" max="21" width="16" style="126" bestFit="1" customWidth="1"/>
    <col min="22" max="16384" width="11.42578125" style="126"/>
  </cols>
  <sheetData>
    <row r="1" spans="1:25" ht="19.5" customHeight="1">
      <c r="A1" s="538" t="s">
        <v>266</v>
      </c>
      <c r="B1" s="538"/>
    </row>
    <row r="2" spans="1:25">
      <c r="A2" s="136" t="s">
        <v>186</v>
      </c>
    </row>
    <row r="3" spans="1:25">
      <c r="A3" s="544"/>
      <c r="B3" s="544"/>
    </row>
    <row r="5" spans="1:25">
      <c r="A5" s="132" t="s">
        <v>107</v>
      </c>
      <c r="B5" s="126" t="s">
        <v>47</v>
      </c>
      <c r="C5" s="126" t="s">
        <v>48</v>
      </c>
      <c r="D5" s="126" t="s">
        <v>49</v>
      </c>
      <c r="E5" s="126" t="s">
        <v>50</v>
      </c>
      <c r="F5" s="126" t="s">
        <v>51</v>
      </c>
      <c r="G5" s="126" t="s">
        <v>52</v>
      </c>
      <c r="H5" s="126" t="s">
        <v>53</v>
      </c>
      <c r="I5" s="126" t="s">
        <v>54</v>
      </c>
      <c r="J5" s="126" t="s">
        <v>55</v>
      </c>
      <c r="K5" s="126" t="s">
        <v>56</v>
      </c>
      <c r="L5" s="126" t="s">
        <v>104</v>
      </c>
      <c r="M5" s="126" t="s">
        <v>29</v>
      </c>
      <c r="N5" s="178" t="s">
        <v>30</v>
      </c>
      <c r="O5" s="134" t="s">
        <v>31</v>
      </c>
      <c r="P5" s="134" t="s">
        <v>32</v>
      </c>
      <c r="Q5" s="134" t="s">
        <v>33</v>
      </c>
      <c r="R5" s="134" t="s">
        <v>34</v>
      </c>
      <c r="S5" s="134" t="s">
        <v>6</v>
      </c>
      <c r="T5" s="134" t="s">
        <v>7</v>
      </c>
      <c r="U5" s="134" t="s">
        <v>8</v>
      </c>
      <c r="V5" s="134" t="s">
        <v>105</v>
      </c>
    </row>
    <row r="6" spans="1:25">
      <c r="A6" s="132" t="s">
        <v>267</v>
      </c>
      <c r="B6" s="126" t="s">
        <v>157</v>
      </c>
      <c r="C6" s="133">
        <v>0</v>
      </c>
      <c r="D6" s="133">
        <v>0</v>
      </c>
      <c r="E6" s="133">
        <v>0</v>
      </c>
      <c r="F6" s="133">
        <v>1010</v>
      </c>
      <c r="G6" s="133">
        <v>1000</v>
      </c>
      <c r="H6" s="133">
        <v>640</v>
      </c>
      <c r="I6" s="133">
        <v>0</v>
      </c>
      <c r="J6" s="133">
        <v>500</v>
      </c>
      <c r="K6" s="133">
        <v>510</v>
      </c>
      <c r="L6" s="133">
        <v>790</v>
      </c>
      <c r="M6" s="133">
        <v>500</v>
      </c>
      <c r="N6" s="177">
        <v>715</v>
      </c>
      <c r="O6" s="133">
        <v>0</v>
      </c>
      <c r="P6" s="133"/>
      <c r="Q6" s="133"/>
      <c r="R6" s="133">
        <v>1015</v>
      </c>
      <c r="S6" s="133">
        <v>1000</v>
      </c>
      <c r="T6" s="133">
        <v>820</v>
      </c>
      <c r="U6" s="133">
        <v>900</v>
      </c>
      <c r="V6" s="133"/>
    </row>
    <row r="7" spans="1:25">
      <c r="A7" s="132"/>
      <c r="B7" s="126" t="s">
        <v>268</v>
      </c>
      <c r="C7" s="133">
        <v>0</v>
      </c>
      <c r="D7" s="133">
        <v>0</v>
      </c>
      <c r="E7" s="133">
        <v>0</v>
      </c>
      <c r="F7" s="133">
        <v>0</v>
      </c>
      <c r="G7" s="133">
        <v>1500</v>
      </c>
      <c r="H7" s="133">
        <v>0</v>
      </c>
      <c r="I7" s="133">
        <v>0</v>
      </c>
      <c r="J7" s="133">
        <v>0</v>
      </c>
      <c r="K7" s="133">
        <v>0</v>
      </c>
      <c r="L7" s="133">
        <v>0</v>
      </c>
      <c r="M7" s="133">
        <v>0</v>
      </c>
      <c r="N7" s="177">
        <v>0</v>
      </c>
      <c r="O7" s="133">
        <v>0</v>
      </c>
      <c r="P7" s="133"/>
      <c r="Q7" s="133"/>
      <c r="R7" s="133"/>
      <c r="S7" s="133"/>
      <c r="T7" s="133"/>
      <c r="U7" s="133"/>
      <c r="V7" s="133"/>
    </row>
    <row r="8" spans="1:25">
      <c r="A8" s="132" t="s">
        <v>269</v>
      </c>
      <c r="B8" s="126" t="s">
        <v>270</v>
      </c>
      <c r="C8" s="133">
        <v>0</v>
      </c>
      <c r="D8" s="133">
        <v>0</v>
      </c>
      <c r="E8" s="133">
        <v>0</v>
      </c>
      <c r="F8" s="133">
        <v>20.99</v>
      </c>
      <c r="G8" s="133">
        <v>0</v>
      </c>
      <c r="H8" s="133">
        <v>-8062.94</v>
      </c>
      <c r="I8" s="133">
        <v>0</v>
      </c>
      <c r="J8" s="133">
        <v>0</v>
      </c>
      <c r="K8" s="133">
        <v>0</v>
      </c>
      <c r="L8" s="133">
        <v>0</v>
      </c>
      <c r="M8" s="133">
        <v>0</v>
      </c>
      <c r="N8" s="177">
        <v>-7751</v>
      </c>
      <c r="O8" s="133">
        <v>0</v>
      </c>
      <c r="P8" s="133"/>
      <c r="Q8" s="133"/>
      <c r="R8" s="133">
        <v>483</v>
      </c>
      <c r="S8" s="133">
        <v>400</v>
      </c>
      <c r="T8" s="133"/>
      <c r="U8" s="133">
        <v>400</v>
      </c>
      <c r="V8" s="133"/>
    </row>
    <row r="9" spans="1:25">
      <c r="A9" s="132" t="s">
        <v>271</v>
      </c>
      <c r="B9" s="126" t="s">
        <v>232</v>
      </c>
      <c r="C9" s="131">
        <v>0</v>
      </c>
      <c r="D9" s="131">
        <v>0</v>
      </c>
      <c r="E9" s="131">
        <v>0</v>
      </c>
      <c r="F9" s="131">
        <v>4237.51</v>
      </c>
      <c r="G9" s="131">
        <v>0</v>
      </c>
      <c r="H9" s="131">
        <v>9554.44</v>
      </c>
      <c r="I9" s="131">
        <v>0</v>
      </c>
      <c r="J9" s="131">
        <v>0</v>
      </c>
      <c r="K9" s="131">
        <v>0</v>
      </c>
      <c r="L9" s="131">
        <v>0</v>
      </c>
      <c r="M9" s="131">
        <v>0</v>
      </c>
      <c r="N9" s="163">
        <v>9200.02</v>
      </c>
      <c r="O9" s="131">
        <v>0</v>
      </c>
      <c r="P9" s="133"/>
      <c r="Q9" s="133"/>
      <c r="R9" s="133"/>
      <c r="S9" s="133"/>
      <c r="T9" s="133"/>
      <c r="U9" s="133">
        <f>45813.15/2</f>
        <v>22906.575000000001</v>
      </c>
      <c r="V9" s="133"/>
    </row>
    <row r="10" spans="1:25">
      <c r="A10" s="132"/>
      <c r="B10" s="8" t="s">
        <v>13</v>
      </c>
      <c r="C10" s="16">
        <f>SUBTOTAL(109,ClubsRevenues[Budget 10/11])</f>
        <v>0</v>
      </c>
      <c r="D10" s="16">
        <f>SUBTOTAL(109,ClubsRevenues[Actual 10/11])</f>
        <v>0</v>
      </c>
      <c r="E10" s="16">
        <f>SUBTOTAL(109,ClubsRevenues[Budget 11/12])</f>
        <v>0</v>
      </c>
      <c r="F10" s="16">
        <f>SUBTOTAL(109,ClubsRevenues[Actual 11/12])</f>
        <v>5268.5</v>
      </c>
      <c r="G10" s="16">
        <f>SUBTOTAL(109,ClubsRevenues[Budget 12/13])</f>
        <v>2500</v>
      </c>
      <c r="H10" s="16">
        <f>SUBTOTAL(109,ClubsRevenues[Actual 12/13])</f>
        <v>2131.5000000000009</v>
      </c>
      <c r="I10" s="16">
        <f>SUBTOTAL(109,ClubsRevenues[Budget 13/14])</f>
        <v>0</v>
      </c>
      <c r="J10" s="16">
        <f>SUBTOTAL(109,ClubsRevenues[Actual 13/14])</f>
        <v>500</v>
      </c>
      <c r="K10" s="16">
        <f>SUBTOTAL(109,ClubsRevenues[Budget 14/15])</f>
        <v>510</v>
      </c>
      <c r="L10" s="16">
        <f>SUBTOTAL(109,ClubsRevenues[Actual 14/15])</f>
        <v>790</v>
      </c>
      <c r="M10" s="16">
        <f>SUBTOTAL(109,ClubsRevenues[Budget 15/16])</f>
        <v>500</v>
      </c>
      <c r="N10" s="140">
        <f>SUBTOTAL(109,ClubsRevenues[Actual 15/16])</f>
        <v>2164.0200000000004</v>
      </c>
      <c r="O10" s="16">
        <f>SUBTOTAL(109,ClubsRevenues[Budget 16/17])</f>
        <v>0</v>
      </c>
      <c r="P10" s="16">
        <f>SUBTOTAL(109,ClubsRevenues[Actual 16/17])</f>
        <v>0</v>
      </c>
      <c r="Q10" s="16">
        <f>SUBTOTAL(109,ClubsRevenues[Budget 17/18])</f>
        <v>0</v>
      </c>
      <c r="R10" s="20">
        <f>SUM(ClubsRevenues[Actual 17/18])</f>
        <v>1498</v>
      </c>
      <c r="S10" s="20">
        <f>SUM(ClubsRevenues[Budget 18/19])</f>
        <v>1400</v>
      </c>
      <c r="T10" s="20">
        <f>SUM(ClubsRevenues[Actual 18/19])</f>
        <v>820</v>
      </c>
      <c r="U10" s="20">
        <f>SUM(ClubsRevenues[Budget 19/20])</f>
        <v>24206.575000000001</v>
      </c>
      <c r="V10" s="20"/>
    </row>
    <row r="11" spans="1:25">
      <c r="A11" s="132"/>
      <c r="B11" s="135"/>
      <c r="C11" s="133"/>
      <c r="D11" s="133"/>
      <c r="E11" s="133"/>
      <c r="F11" s="133"/>
      <c r="G11" s="133"/>
      <c r="H11" s="133"/>
      <c r="I11" s="133"/>
      <c r="J11" s="133"/>
      <c r="K11" s="133"/>
      <c r="L11" s="133"/>
      <c r="M11" s="133"/>
    </row>
    <row r="13" spans="1:25">
      <c r="A13" s="132" t="s">
        <v>107</v>
      </c>
      <c r="B13" s="126" t="s">
        <v>61</v>
      </c>
      <c r="C13" s="126" t="s">
        <v>48</v>
      </c>
      <c r="D13" s="126" t="s">
        <v>49</v>
      </c>
      <c r="E13" s="126" t="s">
        <v>50</v>
      </c>
      <c r="F13" s="126" t="s">
        <v>51</v>
      </c>
      <c r="G13" s="126" t="s">
        <v>52</v>
      </c>
      <c r="H13" s="126" t="s">
        <v>53</v>
      </c>
      <c r="I13" s="126" t="s">
        <v>54</v>
      </c>
      <c r="J13" s="126" t="s">
        <v>55</v>
      </c>
      <c r="K13" s="126" t="s">
        <v>56</v>
      </c>
      <c r="L13" s="126" t="s">
        <v>104</v>
      </c>
      <c r="M13" s="126" t="s">
        <v>29</v>
      </c>
      <c r="N13" s="178" t="s">
        <v>30</v>
      </c>
      <c r="O13" s="134" t="s">
        <v>31</v>
      </c>
      <c r="P13" s="134" t="s">
        <v>32</v>
      </c>
      <c r="Q13" s="134" t="s">
        <v>33</v>
      </c>
      <c r="R13" s="134" t="s">
        <v>34</v>
      </c>
      <c r="S13" s="134" t="s">
        <v>6</v>
      </c>
      <c r="T13" s="134" t="s">
        <v>7</v>
      </c>
      <c r="U13" s="134" t="s">
        <v>8</v>
      </c>
      <c r="V13" s="126" t="s">
        <v>105</v>
      </c>
    </row>
    <row r="14" spans="1:25">
      <c r="A14" s="132" t="s">
        <v>272</v>
      </c>
      <c r="B14" s="126" t="s">
        <v>236</v>
      </c>
      <c r="C14" s="17">
        <v>25300</v>
      </c>
      <c r="D14" s="17">
        <v>15734.18</v>
      </c>
      <c r="E14" s="17">
        <v>26800</v>
      </c>
      <c r="F14" s="17">
        <v>12120.77</v>
      </c>
      <c r="G14" s="17">
        <v>8000</v>
      </c>
      <c r="H14" s="17">
        <v>12428.68</v>
      </c>
      <c r="I14" s="17">
        <v>0</v>
      </c>
      <c r="J14" s="17">
        <v>350.56</v>
      </c>
      <c r="K14" s="17">
        <v>1875</v>
      </c>
      <c r="L14" s="17">
        <v>296.47000000000003</v>
      </c>
      <c r="M14" s="17">
        <v>0</v>
      </c>
      <c r="N14" s="163">
        <v>195.02</v>
      </c>
      <c r="O14" s="17">
        <v>300</v>
      </c>
      <c r="P14" s="186">
        <v>1582.06</v>
      </c>
      <c r="Q14" s="186">
        <v>4400</v>
      </c>
      <c r="R14" s="186">
        <v>4617.26</v>
      </c>
      <c r="S14" s="186">
        <v>6316.7</v>
      </c>
      <c r="T14" s="186">
        <v>10428.83</v>
      </c>
      <c r="U14" s="44">
        <v>4000</v>
      </c>
      <c r="V14" s="44"/>
    </row>
    <row r="15" spans="1:25">
      <c r="A15" s="132" t="s">
        <v>273</v>
      </c>
      <c r="B15" s="126" t="s">
        <v>116</v>
      </c>
      <c r="C15" s="131">
        <v>0</v>
      </c>
      <c r="D15" s="131">
        <v>0</v>
      </c>
      <c r="E15" s="131">
        <v>0</v>
      </c>
      <c r="F15" s="131">
        <v>460</v>
      </c>
      <c r="G15" s="131">
        <v>0</v>
      </c>
      <c r="H15" s="131">
        <v>78.5</v>
      </c>
      <c r="I15" s="131">
        <v>0</v>
      </c>
      <c r="J15" s="131">
        <v>399.3</v>
      </c>
      <c r="K15" s="131">
        <v>600</v>
      </c>
      <c r="L15" s="131">
        <v>633.64</v>
      </c>
      <c r="M15" s="131">
        <v>850</v>
      </c>
      <c r="N15" s="163">
        <v>1790.99</v>
      </c>
      <c r="O15" s="17">
        <v>750</v>
      </c>
      <c r="P15" s="186">
        <v>805.26</v>
      </c>
      <c r="Q15" s="186">
        <v>500</v>
      </c>
      <c r="R15" s="186">
        <v>244.21</v>
      </c>
      <c r="S15" s="186">
        <v>450</v>
      </c>
      <c r="T15" s="186">
        <v>553.05999999999995</v>
      </c>
      <c r="U15" s="44">
        <v>600</v>
      </c>
      <c r="V15" s="44"/>
      <c r="Y15" s="343"/>
    </row>
    <row r="16" spans="1:25">
      <c r="A16" s="132" t="s">
        <v>274</v>
      </c>
      <c r="B16" s="126" t="s">
        <v>70</v>
      </c>
      <c r="C16" s="131">
        <v>600</v>
      </c>
      <c r="D16" s="131">
        <v>741.75</v>
      </c>
      <c r="E16" s="131">
        <v>780</v>
      </c>
      <c r="F16" s="131">
        <v>732.26</v>
      </c>
      <c r="G16" s="131">
        <v>780</v>
      </c>
      <c r="H16" s="131">
        <v>963.92</v>
      </c>
      <c r="I16" s="131">
        <v>350</v>
      </c>
      <c r="J16" s="131">
        <v>735.7</v>
      </c>
      <c r="K16" s="131">
        <v>350</v>
      </c>
      <c r="L16" s="131">
        <v>277.94</v>
      </c>
      <c r="M16" s="131">
        <v>350</v>
      </c>
      <c r="N16" s="163">
        <v>254.63</v>
      </c>
      <c r="O16" s="17">
        <v>350</v>
      </c>
      <c r="P16" s="186">
        <v>393.7</v>
      </c>
      <c r="Q16" s="186">
        <v>350</v>
      </c>
      <c r="R16" s="186">
        <v>416.9</v>
      </c>
      <c r="S16" s="186">
        <v>350</v>
      </c>
      <c r="T16" s="186">
        <v>454.8</v>
      </c>
      <c r="U16" s="186">
        <v>350</v>
      </c>
      <c r="V16" s="186"/>
    </row>
    <row r="17" spans="1:24">
      <c r="A17" s="132" t="s">
        <v>275</v>
      </c>
      <c r="B17" s="126" t="s">
        <v>74</v>
      </c>
      <c r="C17" s="131">
        <v>5</v>
      </c>
      <c r="D17" s="131">
        <v>0</v>
      </c>
      <c r="E17" s="131">
        <v>5</v>
      </c>
      <c r="F17" s="131">
        <v>0</v>
      </c>
      <c r="G17" s="131">
        <v>5</v>
      </c>
      <c r="H17" s="131">
        <v>0</v>
      </c>
      <c r="I17" s="131">
        <v>5</v>
      </c>
      <c r="J17" s="131">
        <v>0</v>
      </c>
      <c r="K17" s="131">
        <v>0</v>
      </c>
      <c r="L17" s="131">
        <v>0</v>
      </c>
      <c r="M17" s="131">
        <v>0</v>
      </c>
      <c r="N17" s="163">
        <v>0</v>
      </c>
      <c r="O17" s="17">
        <v>0</v>
      </c>
      <c r="P17" s="186"/>
      <c r="Q17" s="186"/>
      <c r="R17" s="186"/>
      <c r="S17" s="186"/>
      <c r="T17" s="186"/>
      <c r="U17" s="186"/>
      <c r="V17" s="186"/>
    </row>
    <row r="18" spans="1:24">
      <c r="A18" s="132" t="s">
        <v>276</v>
      </c>
      <c r="B18" s="126" t="s">
        <v>77</v>
      </c>
      <c r="C18" s="131">
        <v>150</v>
      </c>
      <c r="D18" s="131">
        <v>229.29</v>
      </c>
      <c r="E18" s="131">
        <v>275</v>
      </c>
      <c r="F18" s="131">
        <v>235.93</v>
      </c>
      <c r="G18" s="131">
        <v>275</v>
      </c>
      <c r="H18" s="131">
        <v>353.16</v>
      </c>
      <c r="I18" s="131">
        <v>275</v>
      </c>
      <c r="J18" s="131">
        <v>151.63999999999999</v>
      </c>
      <c r="K18" s="131">
        <v>200</v>
      </c>
      <c r="L18" s="131">
        <v>210.81</v>
      </c>
      <c r="M18" s="131">
        <v>200</v>
      </c>
      <c r="N18" s="163">
        <v>178.58</v>
      </c>
      <c r="O18" s="17">
        <v>100</v>
      </c>
      <c r="P18" s="186"/>
      <c r="Q18" s="186">
        <v>100</v>
      </c>
      <c r="R18" s="186">
        <v>174.57</v>
      </c>
      <c r="S18" s="186">
        <v>150</v>
      </c>
      <c r="T18" s="186">
        <v>81.260000000000005</v>
      </c>
      <c r="U18" s="186">
        <v>150</v>
      </c>
      <c r="V18" s="186"/>
    </row>
    <row r="19" spans="1:24">
      <c r="A19" s="132" t="s">
        <v>277</v>
      </c>
      <c r="B19" s="126" t="s">
        <v>258</v>
      </c>
      <c r="C19" s="133">
        <v>2500</v>
      </c>
      <c r="D19" s="133">
        <v>365.57</v>
      </c>
      <c r="E19" s="133">
        <v>500</v>
      </c>
      <c r="F19" s="133">
        <v>660.7</v>
      </c>
      <c r="G19" s="133">
        <v>500</v>
      </c>
      <c r="H19" s="133">
        <v>488.47</v>
      </c>
      <c r="I19" s="133">
        <v>0</v>
      </c>
      <c r="J19" s="133">
        <v>1027.7</v>
      </c>
      <c r="K19" s="133">
        <v>600</v>
      </c>
      <c r="L19" s="133">
        <v>661.37</v>
      </c>
      <c r="M19" s="133">
        <v>600</v>
      </c>
      <c r="N19" s="163">
        <v>434.99</v>
      </c>
      <c r="O19" s="17">
        <v>150</v>
      </c>
      <c r="P19" s="186">
        <v>688.34</v>
      </c>
      <c r="Q19" s="186">
        <v>150</v>
      </c>
      <c r="R19" s="186">
        <v>103.36</v>
      </c>
      <c r="S19" s="186">
        <v>150</v>
      </c>
      <c r="T19" s="186">
        <v>18.07</v>
      </c>
      <c r="U19" s="186">
        <v>150</v>
      </c>
      <c r="V19" s="186"/>
      <c r="X19" s="133"/>
    </row>
    <row r="20" spans="1:24">
      <c r="A20" s="132" t="s">
        <v>278</v>
      </c>
      <c r="B20" s="126" t="s">
        <v>244</v>
      </c>
      <c r="C20" s="131">
        <v>2000</v>
      </c>
      <c r="D20" s="131">
        <v>1135.9000000000001</v>
      </c>
      <c r="E20" s="131">
        <v>1500</v>
      </c>
      <c r="F20" s="131">
        <v>1603.13</v>
      </c>
      <c r="G20" s="131">
        <v>2000</v>
      </c>
      <c r="H20" s="131">
        <v>1633.85</v>
      </c>
      <c r="I20" s="131">
        <v>100</v>
      </c>
      <c r="J20" s="131">
        <v>1631.86</v>
      </c>
      <c r="K20" s="131">
        <v>700</v>
      </c>
      <c r="L20" s="131">
        <v>679.15</v>
      </c>
      <c r="M20" s="131">
        <v>500</v>
      </c>
      <c r="N20" s="163">
        <v>465.08</v>
      </c>
      <c r="O20" s="17">
        <v>400</v>
      </c>
      <c r="P20" s="186">
        <v>792.39</v>
      </c>
      <c r="Q20" s="186">
        <v>400</v>
      </c>
      <c r="R20" s="186">
        <f>57.63+307.47</f>
        <v>365.1</v>
      </c>
      <c r="S20" s="186">
        <v>400</v>
      </c>
      <c r="T20" s="186">
        <v>125.85</v>
      </c>
      <c r="U20" s="186">
        <v>200</v>
      </c>
      <c r="V20" s="186"/>
    </row>
    <row r="21" spans="1:24">
      <c r="A21" s="132" t="s">
        <v>279</v>
      </c>
      <c r="B21" s="126" t="s">
        <v>83</v>
      </c>
      <c r="C21" s="131">
        <v>1000</v>
      </c>
      <c r="D21" s="131">
        <v>829.31</v>
      </c>
      <c r="E21" s="131">
        <v>1000</v>
      </c>
      <c r="F21" s="131">
        <v>0</v>
      </c>
      <c r="G21" s="131">
        <v>3000</v>
      </c>
      <c r="H21" s="131">
        <v>1234.4000000000001</v>
      </c>
      <c r="I21" s="131">
        <v>0</v>
      </c>
      <c r="J21" s="131">
        <v>755.67</v>
      </c>
      <c r="K21" s="131">
        <v>0</v>
      </c>
      <c r="L21" s="131">
        <v>0</v>
      </c>
      <c r="M21" s="131">
        <v>0</v>
      </c>
      <c r="N21" s="163">
        <v>0</v>
      </c>
      <c r="O21" s="17">
        <v>0</v>
      </c>
      <c r="P21" s="186"/>
      <c r="Q21" s="186"/>
      <c r="R21" s="186"/>
      <c r="S21" s="186"/>
      <c r="T21" s="186"/>
      <c r="U21" s="186"/>
      <c r="V21" s="186"/>
    </row>
    <row r="22" spans="1:24">
      <c r="A22" s="132" t="s">
        <v>280</v>
      </c>
      <c r="B22" s="126" t="s">
        <v>247</v>
      </c>
      <c r="C22" s="133">
        <v>350</v>
      </c>
      <c r="D22" s="133">
        <v>783.27</v>
      </c>
      <c r="E22" s="133">
        <v>700</v>
      </c>
      <c r="F22" s="133">
        <v>499.89</v>
      </c>
      <c r="G22" s="133">
        <v>700</v>
      </c>
      <c r="H22" s="133">
        <v>455.27</v>
      </c>
      <c r="I22" s="133">
        <v>0</v>
      </c>
      <c r="J22" s="133">
        <v>749.64</v>
      </c>
      <c r="K22" s="133">
        <v>0</v>
      </c>
      <c r="L22" s="133">
        <v>0</v>
      </c>
      <c r="M22" s="133">
        <v>0</v>
      </c>
      <c r="N22" s="163">
        <v>71.31</v>
      </c>
      <c r="O22" s="17">
        <v>0</v>
      </c>
      <c r="P22" s="186"/>
      <c r="Q22" s="186"/>
      <c r="R22" s="186"/>
      <c r="S22" s="186">
        <v>60</v>
      </c>
      <c r="T22" s="186">
        <v>12.08</v>
      </c>
      <c r="U22" s="186">
        <v>40</v>
      </c>
      <c r="V22" s="186"/>
    </row>
    <row r="23" spans="1:24">
      <c r="A23" s="132" t="s">
        <v>281</v>
      </c>
      <c r="B23" s="126" t="s">
        <v>249</v>
      </c>
      <c r="C23" s="131">
        <v>645.96</v>
      </c>
      <c r="D23" s="131">
        <v>785.53</v>
      </c>
      <c r="E23" s="131">
        <v>1500</v>
      </c>
      <c r="F23" s="131">
        <v>1062.56</v>
      </c>
      <c r="G23" s="131">
        <v>2166.66</v>
      </c>
      <c r="H23" s="131">
        <v>13742.96</v>
      </c>
      <c r="I23" s="131">
        <v>13554.48</v>
      </c>
      <c r="J23" s="131">
        <v>13568.65</v>
      </c>
      <c r="K23" s="131">
        <v>13421.83</v>
      </c>
      <c r="L23" s="131">
        <v>13421.76</v>
      </c>
      <c r="M23" s="131">
        <v>13421.83</v>
      </c>
      <c r="N23" s="163">
        <v>14090.6</v>
      </c>
      <c r="O23" s="17">
        <v>13421</v>
      </c>
      <c r="P23" s="186">
        <v>16541.28</v>
      </c>
      <c r="Q23" s="186">
        <v>13421</v>
      </c>
      <c r="R23" s="186">
        <v>3553.56</v>
      </c>
      <c r="S23" s="186">
        <v>765</v>
      </c>
      <c r="T23" s="186">
        <v>764.79</v>
      </c>
      <c r="U23" s="186"/>
      <c r="V23" s="186"/>
    </row>
    <row r="24" spans="1:24">
      <c r="A24" s="132" t="s">
        <v>282</v>
      </c>
      <c r="B24" s="126" t="s">
        <v>89</v>
      </c>
      <c r="C24" s="131">
        <v>200</v>
      </c>
      <c r="D24" s="131">
        <v>0</v>
      </c>
      <c r="E24" s="131">
        <v>200</v>
      </c>
      <c r="F24" s="131">
        <v>126.42</v>
      </c>
      <c r="G24" s="131">
        <v>200</v>
      </c>
      <c r="H24" s="131">
        <v>133.79</v>
      </c>
      <c r="I24" s="131">
        <v>100</v>
      </c>
      <c r="J24" s="131">
        <v>211.02</v>
      </c>
      <c r="K24" s="131">
        <v>100</v>
      </c>
      <c r="L24" s="131">
        <v>128.16999999999999</v>
      </c>
      <c r="M24" s="131">
        <v>350</v>
      </c>
      <c r="N24" s="163">
        <v>502.14</v>
      </c>
      <c r="O24" s="17">
        <v>500</v>
      </c>
      <c r="P24" s="186"/>
      <c r="Q24" s="186">
        <v>500</v>
      </c>
      <c r="R24" s="186">
        <v>9865.01</v>
      </c>
      <c r="S24" s="186">
        <v>4000</v>
      </c>
      <c r="T24" s="186">
        <f>16649.45-T25-T26</f>
        <v>6781.6800000000012</v>
      </c>
      <c r="U24" s="186">
        <v>1050</v>
      </c>
      <c r="V24" s="186"/>
    </row>
    <row r="25" spans="1:24">
      <c r="A25" s="132" t="s">
        <v>282</v>
      </c>
      <c r="B25" s="126" t="s">
        <v>283</v>
      </c>
      <c r="C25" s="131">
        <v>15000</v>
      </c>
      <c r="D25" s="131">
        <v>12103.57</v>
      </c>
      <c r="E25" s="131">
        <v>13500</v>
      </c>
      <c r="F25" s="131">
        <v>14008.94</v>
      </c>
      <c r="G25" s="131">
        <v>13500</v>
      </c>
      <c r="H25" s="131">
        <v>13596.32</v>
      </c>
      <c r="I25" s="131">
        <v>14500</v>
      </c>
      <c r="J25" s="131">
        <v>17885.25</v>
      </c>
      <c r="K25" s="131">
        <v>17000</v>
      </c>
      <c r="L25" s="131">
        <f>20410.85+236.32</f>
        <v>20647.169999999998</v>
      </c>
      <c r="M25" s="131">
        <v>20000</v>
      </c>
      <c r="N25" s="163">
        <v>11252.15</v>
      </c>
      <c r="O25" s="17">
        <v>23000</v>
      </c>
      <c r="P25" s="186">
        <v>17613.939999999999</v>
      </c>
      <c r="Q25" s="186">
        <v>23000</v>
      </c>
      <c r="R25" s="186">
        <v>15029.57</v>
      </c>
      <c r="S25" s="186">
        <v>20000</v>
      </c>
      <c r="T25" s="186">
        <v>8637.81</v>
      </c>
      <c r="U25" s="186">
        <v>18750</v>
      </c>
      <c r="V25" s="186"/>
    </row>
    <row r="26" spans="1:24">
      <c r="A26" s="132" t="s">
        <v>282</v>
      </c>
      <c r="B26" s="126" t="s">
        <v>284</v>
      </c>
      <c r="C26" s="131">
        <v>0</v>
      </c>
      <c r="D26" s="131">
        <v>0</v>
      </c>
      <c r="E26" s="131">
        <v>2750</v>
      </c>
      <c r="F26" s="131">
        <v>931.4</v>
      </c>
      <c r="G26" s="131">
        <v>1000</v>
      </c>
      <c r="H26" s="131">
        <v>381.05</v>
      </c>
      <c r="I26" s="131">
        <v>1350</v>
      </c>
      <c r="J26" s="131">
        <v>1122.3</v>
      </c>
      <c r="K26" s="131">
        <v>1275</v>
      </c>
      <c r="L26" s="131">
        <v>1205.3800000000001</v>
      </c>
      <c r="M26" s="131">
        <v>1475</v>
      </c>
      <c r="N26" s="163">
        <v>461.03</v>
      </c>
      <c r="O26" s="17">
        <v>1000</v>
      </c>
      <c r="P26" s="186">
        <v>800</v>
      </c>
      <c r="Q26" s="186">
        <v>1200</v>
      </c>
      <c r="R26" s="186">
        <v>997.8</v>
      </c>
      <c r="S26" s="186">
        <v>2150</v>
      </c>
      <c r="T26" s="186">
        <v>1229.96</v>
      </c>
      <c r="U26" s="186">
        <v>1000</v>
      </c>
      <c r="V26" s="186"/>
    </row>
    <row r="27" spans="1:24">
      <c r="A27" s="132" t="s">
        <v>282</v>
      </c>
      <c r="B27" s="126" t="s">
        <v>285</v>
      </c>
      <c r="C27" s="131">
        <v>4200</v>
      </c>
      <c r="D27" s="131">
        <v>4500</v>
      </c>
      <c r="E27" s="131">
        <v>6400</v>
      </c>
      <c r="F27" s="131">
        <v>6600</v>
      </c>
      <c r="G27" s="131">
        <v>8800</v>
      </c>
      <c r="H27" s="131">
        <v>7000</v>
      </c>
      <c r="I27" s="131"/>
      <c r="J27" s="131">
        <v>-200</v>
      </c>
      <c r="K27" s="131">
        <v>0</v>
      </c>
      <c r="L27" s="131">
        <v>0</v>
      </c>
      <c r="M27" s="131">
        <v>0</v>
      </c>
      <c r="N27" s="163">
        <v>0</v>
      </c>
      <c r="O27" s="17">
        <v>0</v>
      </c>
      <c r="P27" s="186"/>
      <c r="Q27" s="186"/>
      <c r="R27" s="186"/>
      <c r="S27" s="186"/>
      <c r="T27" s="186"/>
      <c r="U27" s="186"/>
      <c r="V27" s="186"/>
    </row>
    <row r="28" spans="1:24">
      <c r="A28" s="210" t="s">
        <v>286</v>
      </c>
      <c r="B28" s="126" t="s">
        <v>287</v>
      </c>
      <c r="C28" s="17">
        <v>0</v>
      </c>
      <c r="D28" s="17">
        <v>0</v>
      </c>
      <c r="E28" s="17">
        <v>0</v>
      </c>
      <c r="F28" s="17">
        <v>0</v>
      </c>
      <c r="G28" s="17">
        <v>0</v>
      </c>
      <c r="H28" s="17">
        <v>0</v>
      </c>
      <c r="I28" s="17">
        <v>0</v>
      </c>
      <c r="J28" s="17">
        <v>118.08</v>
      </c>
      <c r="K28" s="17">
        <v>0</v>
      </c>
      <c r="L28" s="17">
        <v>359.18</v>
      </c>
      <c r="M28" s="17">
        <v>500</v>
      </c>
      <c r="N28" s="163">
        <v>265.33</v>
      </c>
      <c r="O28" s="17">
        <v>400</v>
      </c>
      <c r="P28" s="186">
        <v>828.98</v>
      </c>
      <c r="Q28" s="186">
        <v>400</v>
      </c>
      <c r="R28" s="473"/>
      <c r="S28" s="186">
        <v>400</v>
      </c>
      <c r="T28" s="186">
        <v>204.83</v>
      </c>
      <c r="U28" s="186">
        <v>250</v>
      </c>
      <c r="V28" s="186"/>
    </row>
    <row r="29" spans="1:24" hidden="1">
      <c r="B29" s="126" t="s">
        <v>288</v>
      </c>
      <c r="C29" s="131">
        <v>0</v>
      </c>
      <c r="D29" s="131">
        <v>0</v>
      </c>
      <c r="E29" s="131">
        <v>0</v>
      </c>
      <c r="F29" s="131">
        <v>0</v>
      </c>
      <c r="G29" s="131">
        <v>0</v>
      </c>
      <c r="H29" s="131">
        <v>0</v>
      </c>
      <c r="I29" s="131">
        <v>0</v>
      </c>
      <c r="J29" s="131">
        <v>0</v>
      </c>
      <c r="K29" s="131">
        <v>2200</v>
      </c>
      <c r="L29" s="131">
        <v>0</v>
      </c>
      <c r="M29" s="131">
        <v>2200</v>
      </c>
      <c r="N29" s="163">
        <v>0</v>
      </c>
      <c r="O29" s="17">
        <v>0</v>
      </c>
      <c r="P29" s="186"/>
      <c r="Q29" s="186"/>
      <c r="R29" s="186"/>
      <c r="S29" s="186"/>
      <c r="T29" s="186"/>
      <c r="U29" s="186"/>
      <c r="V29" s="186"/>
    </row>
    <row r="30" spans="1:24">
      <c r="B30" s="126" t="s">
        <v>289</v>
      </c>
      <c r="C30" s="131"/>
      <c r="D30" s="131"/>
      <c r="E30" s="131"/>
      <c r="F30" s="131"/>
      <c r="G30" s="131"/>
      <c r="H30" s="131"/>
      <c r="I30" s="131"/>
      <c r="J30" s="131"/>
      <c r="K30" s="131"/>
      <c r="L30" s="131"/>
      <c r="M30" s="131">
        <v>0</v>
      </c>
      <c r="N30" s="163">
        <v>19.38</v>
      </c>
      <c r="O30" s="17"/>
      <c r="P30" s="186"/>
      <c r="Q30" s="186"/>
      <c r="R30" s="186"/>
      <c r="S30" s="186"/>
      <c r="T30" s="186">
        <v>19.350000000000001</v>
      </c>
      <c r="U30" s="186"/>
      <c r="V30" s="186"/>
    </row>
    <row r="31" spans="1:24">
      <c r="B31" s="126" t="s">
        <v>290</v>
      </c>
      <c r="C31" s="133"/>
      <c r="D31" s="133"/>
      <c r="E31" s="133"/>
      <c r="F31" s="133"/>
      <c r="G31" s="133"/>
      <c r="H31" s="133"/>
      <c r="I31" s="133"/>
      <c r="J31" s="133"/>
      <c r="K31" s="133"/>
      <c r="L31" s="133"/>
      <c r="M31" s="133"/>
      <c r="N31" s="177"/>
      <c r="O31" s="133"/>
      <c r="P31" s="133"/>
      <c r="Q31" s="133"/>
      <c r="R31" s="186"/>
      <c r="S31" s="186"/>
      <c r="T31" s="186"/>
      <c r="U31" s="186">
        <v>3695.38</v>
      </c>
      <c r="V31" s="306"/>
    </row>
    <row r="32" spans="1:24">
      <c r="B32" s="8" t="s">
        <v>13</v>
      </c>
      <c r="C32" s="16">
        <f>SUBTOTAL(109,ClubsExpenses[Budget 10/11])</f>
        <v>51950.96</v>
      </c>
      <c r="D32" s="16">
        <f>SUBTOTAL(109,ClubsExpenses[Actual 10/11])</f>
        <v>37208.370000000003</v>
      </c>
      <c r="E32" s="16">
        <f>SUBTOTAL(109,ClubsExpenses[Budget 11/12])</f>
        <v>55910</v>
      </c>
      <c r="F32" s="16">
        <f>SUBTOTAL(109,ClubsExpenses[Actual 11/12])</f>
        <v>39042</v>
      </c>
      <c r="G32" s="16">
        <f>SUBTOTAL(109,ClubsExpenses[Budget 12/13])</f>
        <v>40926.660000000003</v>
      </c>
      <c r="H32" s="16">
        <f>SUBTOTAL(109,ClubsExpenses[Actual 12/13])</f>
        <v>52490.37</v>
      </c>
      <c r="I32" s="16">
        <f>SUBTOTAL(109,ClubsExpenses[Budget 13/14])</f>
        <v>30234.48</v>
      </c>
      <c r="J32" s="16">
        <f>SUBTOTAL(109,ClubsExpenses[Actual 13/14])</f>
        <v>38507.37000000001</v>
      </c>
      <c r="K32" s="16">
        <f>SUBTOTAL(109,ClubsExpenses[Budget 14/15])</f>
        <v>36121.83</v>
      </c>
      <c r="L32" s="16">
        <f>SUBTOTAL(109,ClubsExpenses[Actual 14/15])</f>
        <v>38521.039999999994</v>
      </c>
      <c r="M32" s="16">
        <f>SUBTOTAL(109,ClubsExpenses[Budget 15/16])</f>
        <v>38246.83</v>
      </c>
      <c r="N32" s="140">
        <f>SUBTOTAL(109,ClubsExpenses[Actual 15/16])</f>
        <v>29981.23</v>
      </c>
      <c r="O32" s="16">
        <f>SUBTOTAL(109,ClubsExpenses[Budget 16/17])</f>
        <v>40371</v>
      </c>
      <c r="P32" s="16">
        <f>SUBTOTAL(109,ClubsExpenses[Actual 16/17])</f>
        <v>40045.950000000004</v>
      </c>
      <c r="Q32" s="16">
        <f>SUBTOTAL(109,ClubsExpenses[Budget 17/18])</f>
        <v>44421</v>
      </c>
      <c r="R32" s="20">
        <f>SUM(ClubsExpenses[Actual 17/18])</f>
        <v>35367.340000000004</v>
      </c>
      <c r="S32" s="20">
        <f>SUM(ClubsExpenses[Budget 18/19])</f>
        <v>35191.699999999997</v>
      </c>
      <c r="T32" s="20">
        <f>SUM(ClubsExpenses[Actual 18/19])</f>
        <v>29312.369999999995</v>
      </c>
      <c r="U32" s="20">
        <f>SUM(ClubsExpenses[Budget 19/20])</f>
        <v>30235.38</v>
      </c>
      <c r="V32" s="20">
        <f>SUBTOTAL(109,ClubsExpenses[Budget 20/21])</f>
        <v>0</v>
      </c>
    </row>
    <row r="33" spans="2:22" ht="13.5" thickBot="1"/>
    <row r="34" spans="2:22" ht="19.5" thickBot="1">
      <c r="B34" s="130" t="s">
        <v>102</v>
      </c>
      <c r="C34" s="129">
        <f>ClubsRevenues[[#Totals],[Budget 10/11]]-ClubsExpenses[[#Totals],[Budget 10/11]]</f>
        <v>-51950.96</v>
      </c>
      <c r="D34" s="129">
        <f>ClubsRevenues[[#Totals],[Actual 10/11]]-ClubsExpenses[[#Totals],[Actual 10/11]]</f>
        <v>-37208.370000000003</v>
      </c>
      <c r="E34" s="129">
        <f>ClubsRevenues[[#Totals],[Budget 11/12]]-ClubsExpenses[[#Totals],[Budget 11/12]]</f>
        <v>-55910</v>
      </c>
      <c r="F34" s="129">
        <f>ClubsRevenues[[#Totals],[Actual 11/12]]-ClubsExpenses[[#Totals],[Actual 11/12]]</f>
        <v>-33773.5</v>
      </c>
      <c r="G34" s="129">
        <f>ClubsRevenues[[#Totals],[Budget 12/13]]-ClubsExpenses[[#Totals],[Budget 12/13]]</f>
        <v>-38426.660000000003</v>
      </c>
      <c r="H34" s="129">
        <f>ClubsRevenues[[#Totals],[Actual 12/13]]-ClubsExpenses[[#Totals],[Actual 12/13]]</f>
        <v>-50358.87</v>
      </c>
      <c r="I34" s="129">
        <f>ClubsRevenues[[#Totals],[Budget 13/14]]-ClubsExpenses[[#Totals],[Budget 13/14]]</f>
        <v>-30234.48</v>
      </c>
      <c r="J34" s="129">
        <f>ClubsRevenues[[#Totals],[Actual 13/14]]-ClubsExpenses[[#Totals],[Actual 13/14]]</f>
        <v>-38007.37000000001</v>
      </c>
      <c r="K34" s="129">
        <f>ClubsRevenues[[#Totals],[Budget 14/15]]-ClubsExpenses[[#Totals],[Budget 14/15]]</f>
        <v>-35611.83</v>
      </c>
      <c r="L34" s="129">
        <f>ClubsRevenues[[#Totals],[Actual 14/15]]-ClubsExpenses[[#Totals],[Actual 14/15]]</f>
        <v>-37731.039999999994</v>
      </c>
      <c r="M34" s="128">
        <f>ClubsRevenues[[#Totals],[Budget 15/16]]-ClubsExpenses[[#Totals],[Budget 15/16]]</f>
        <v>-37746.83</v>
      </c>
      <c r="N34" s="128">
        <f>ClubsRevenues[[#Totals],[Actual 15/16]]-ClubsExpenses[[#Totals],[Actual 15/16]]</f>
        <v>-27817.21</v>
      </c>
      <c r="O34" s="128">
        <f>ClubsRevenues[[#Totals],[Budget 16/17]]-ClubsExpenses[[#Totals],[Budget 16/17]]</f>
        <v>-40371</v>
      </c>
      <c r="P34" s="128">
        <f>ClubsRevenues[[#Totals],[Actual 16/17]]-ClubsExpenses[[#Totals],[Actual 16/17]]</f>
        <v>-40045.950000000004</v>
      </c>
      <c r="Q34" s="360">
        <f>ClubsRevenues[[#Totals],[Budget 17/18]]-ClubsExpenses[[#Totals],[Budget 17/18]]</f>
        <v>-44421</v>
      </c>
      <c r="R34" s="360">
        <f>ClubsRevenues[[#Totals],[Actual 17/18]]-ClubsExpenses[[#Totals],[Actual 17/18]]</f>
        <v>-33869.340000000004</v>
      </c>
      <c r="S34" s="360">
        <f>ClubsRevenues[[#Totals],[Budget 18/19]]-ClubsExpenses[[#Totals],[Budget 18/19]]</f>
        <v>-33791.699999999997</v>
      </c>
      <c r="T34" s="360">
        <f>ClubsRevenues[[#Totals],[Actual 18/19]]-ClubsExpenses[[#Totals],[Actual 18/19]]</f>
        <v>-28492.369999999995</v>
      </c>
      <c r="U34" s="360">
        <f>ClubsRevenues[[#Totals],[Budget 19/20]]-ClubsExpenses[[#Totals],[Budget 19/20]]</f>
        <v>-6028.8050000000003</v>
      </c>
      <c r="V34" s="360">
        <f>ClubsRevenues[[#Totals],[Budget 20/21]]-ClubsExpenses[[#Totals],[Budget 20/21]]</f>
        <v>0</v>
      </c>
    </row>
    <row r="37" spans="2:22">
      <c r="F37" s="127"/>
      <c r="G37" s="127"/>
      <c r="H37" s="127"/>
      <c r="I37" s="127"/>
      <c r="J37" s="127"/>
      <c r="K37" s="127"/>
      <c r="L37" s="127"/>
      <c r="M37" s="127"/>
    </row>
    <row r="38" spans="2:22">
      <c r="F38" s="127"/>
      <c r="G38" s="127"/>
      <c r="H38" s="127"/>
      <c r="I38" s="127"/>
      <c r="J38" s="127"/>
      <c r="K38" s="127"/>
      <c r="L38" s="127"/>
      <c r="M38" s="127"/>
    </row>
    <row r="39" spans="2:22">
      <c r="F39" s="127"/>
      <c r="G39" s="127"/>
      <c r="H39" s="127"/>
      <c r="I39" s="127"/>
      <c r="J39" s="127"/>
      <c r="K39" s="127"/>
      <c r="L39" s="127"/>
      <c r="M39" s="127"/>
    </row>
    <row r="40" spans="2:22">
      <c r="F40" s="127"/>
      <c r="G40" s="127"/>
      <c r="H40" s="127"/>
      <c r="I40" s="127"/>
      <c r="J40" s="127"/>
      <c r="K40" s="127"/>
      <c r="L40" s="127"/>
      <c r="M40" s="127"/>
    </row>
    <row r="41" spans="2:22">
      <c r="F41" s="127"/>
      <c r="G41" s="127"/>
      <c r="H41" s="127"/>
      <c r="I41" s="127"/>
      <c r="J41" s="127"/>
      <c r="K41" s="127"/>
      <c r="L41" s="127"/>
      <c r="M41" s="127"/>
    </row>
    <row r="42" spans="2:22">
      <c r="F42" s="127"/>
      <c r="G42" s="127"/>
      <c r="H42" s="127"/>
      <c r="I42" s="127"/>
      <c r="J42" s="127"/>
      <c r="K42" s="127"/>
      <c r="L42" s="127"/>
      <c r="M42" s="127"/>
    </row>
    <row r="43" spans="2:22">
      <c r="F43" s="127"/>
      <c r="G43" s="127"/>
      <c r="H43" s="127"/>
      <c r="I43" s="127"/>
      <c r="J43" s="127"/>
      <c r="K43" s="127"/>
      <c r="L43" s="127"/>
      <c r="M43" s="127"/>
    </row>
    <row r="44" spans="2:22">
      <c r="F44" s="127"/>
      <c r="G44" s="127"/>
      <c r="H44" s="127"/>
      <c r="I44" s="127"/>
      <c r="J44" s="127"/>
      <c r="K44" s="127"/>
      <c r="L44" s="127"/>
      <c r="M44" s="127"/>
    </row>
    <row r="45" spans="2:22">
      <c r="F45" s="127"/>
      <c r="G45" s="127"/>
      <c r="H45" s="127"/>
      <c r="I45" s="127"/>
      <c r="J45" s="127"/>
      <c r="K45" s="127"/>
      <c r="L45" s="127"/>
      <c r="M45" s="127"/>
    </row>
    <row r="46" spans="2:22">
      <c r="F46" s="127"/>
      <c r="G46" s="127"/>
      <c r="H46" s="127"/>
      <c r="I46" s="127"/>
      <c r="J46" s="127"/>
      <c r="K46" s="127"/>
      <c r="L46" s="127"/>
      <c r="M46" s="127"/>
    </row>
    <row r="47" spans="2:22">
      <c r="F47" s="127"/>
      <c r="G47" s="127"/>
      <c r="H47" s="127"/>
      <c r="I47" s="127"/>
      <c r="J47" s="127"/>
      <c r="K47" s="127"/>
      <c r="L47" s="127"/>
      <c r="M47" s="127"/>
    </row>
    <row r="48" spans="2:22">
      <c r="F48" s="127"/>
      <c r="G48" s="127"/>
      <c r="H48" s="127"/>
      <c r="I48" s="127"/>
      <c r="J48" s="127"/>
      <c r="K48" s="127"/>
      <c r="L48" s="127"/>
      <c r="M48" s="127"/>
    </row>
    <row r="49" spans="6:13">
      <c r="F49" s="127"/>
      <c r="G49" s="127"/>
      <c r="H49" s="127"/>
      <c r="I49" s="127"/>
      <c r="J49" s="127"/>
      <c r="K49" s="127"/>
      <c r="L49" s="127"/>
      <c r="M49" s="127"/>
    </row>
    <row r="50" spans="6:13">
      <c r="F50" s="127"/>
      <c r="G50" s="127"/>
      <c r="H50" s="127"/>
      <c r="I50" s="127"/>
      <c r="J50" s="127"/>
      <c r="K50" s="127"/>
      <c r="L50" s="127"/>
      <c r="M50" s="127"/>
    </row>
    <row r="51" spans="6:13">
      <c r="F51" s="127"/>
      <c r="G51" s="127"/>
      <c r="H51" s="127"/>
      <c r="I51" s="127"/>
      <c r="J51" s="127"/>
      <c r="K51" s="127"/>
      <c r="L51" s="127"/>
      <c r="M51" s="127"/>
    </row>
    <row r="52" spans="6:13">
      <c r="F52" s="127"/>
      <c r="G52" s="127"/>
      <c r="H52" s="127"/>
      <c r="I52" s="127"/>
      <c r="J52" s="127"/>
      <c r="K52" s="127"/>
      <c r="L52" s="127"/>
      <c r="M52" s="127"/>
    </row>
    <row r="53" spans="6:13">
      <c r="F53" s="127"/>
      <c r="G53" s="127"/>
      <c r="H53" s="127"/>
      <c r="I53" s="127"/>
      <c r="J53" s="127"/>
      <c r="K53" s="127"/>
      <c r="L53" s="127"/>
      <c r="M53" s="127"/>
    </row>
    <row r="54" spans="6:13">
      <c r="F54" s="127"/>
      <c r="G54" s="127"/>
      <c r="H54" s="127"/>
      <c r="I54" s="127"/>
      <c r="J54" s="127"/>
      <c r="K54" s="127"/>
      <c r="L54" s="127"/>
      <c r="M54" s="127"/>
    </row>
  </sheetData>
  <mergeCells count="2">
    <mergeCell ref="A1:B1"/>
    <mergeCell ref="A3:B3"/>
  </mergeCells>
  <pageMargins left="0" right="0" top="0.98425196850393704" bottom="0.98425196850393704" header="0.51181102362204722" footer="0.51181102362204722"/>
  <pageSetup paperSize="5" orientation="landscape" r:id="rId1"/>
  <headerFooter alignWithMargins="0"/>
  <legacyDrawing r:id="rId2"/>
  <tableParts count="2">
    <tablePart r:id="rId3"/>
    <tablePart r:id="rId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1"/>
    <pageSetUpPr fitToPage="1"/>
  </sheetPr>
  <dimension ref="A1:W39"/>
  <sheetViews>
    <sheetView showGridLines="0" zoomScale="90" zoomScaleNormal="90" workbookViewId="0">
      <selection activeCell="B41" sqref="B41"/>
    </sheetView>
  </sheetViews>
  <sheetFormatPr defaultColWidth="11.42578125" defaultRowHeight="12.75"/>
  <cols>
    <col min="1" max="1" width="13.85546875" customWidth="1"/>
    <col min="2" max="2" width="25.85546875" customWidth="1"/>
    <col min="3" max="4" width="15.42578125" hidden="1" customWidth="1"/>
    <col min="5" max="13" width="16" hidden="1" customWidth="1"/>
    <col min="14" max="14" width="16" style="148" hidden="1" customWidth="1"/>
    <col min="15" max="15" width="16" hidden="1" customWidth="1"/>
    <col min="16" max="16" width="17.5703125" hidden="1" customWidth="1"/>
    <col min="17" max="17" width="17.5703125" customWidth="1"/>
    <col min="18" max="18" width="18.140625" customWidth="1"/>
    <col min="19" max="19" width="19.5703125" customWidth="1"/>
    <col min="20" max="20" width="16" bestFit="1" customWidth="1"/>
    <col min="21" max="21" width="16.42578125" customWidth="1"/>
  </cols>
  <sheetData>
    <row r="1" spans="1:22" ht="18">
      <c r="A1" s="534" t="s">
        <v>291</v>
      </c>
      <c r="B1" s="534"/>
      <c r="C1" s="534"/>
      <c r="D1" s="7"/>
      <c r="E1" s="7"/>
      <c r="F1" s="7"/>
      <c r="G1" s="7"/>
      <c r="H1" s="7"/>
      <c r="I1" s="7"/>
      <c r="J1" s="7"/>
      <c r="K1" s="7"/>
      <c r="L1" s="7"/>
      <c r="M1" s="7"/>
    </row>
    <row r="2" spans="1:22">
      <c r="A2" s="28" t="s">
        <v>186</v>
      </c>
      <c r="B2" s="8"/>
      <c r="C2" s="8"/>
      <c r="D2" s="8"/>
      <c r="E2" s="8"/>
      <c r="F2" s="8"/>
      <c r="G2" s="8"/>
      <c r="H2" s="8"/>
      <c r="I2" s="8"/>
      <c r="J2" s="8"/>
      <c r="K2" s="8"/>
      <c r="L2" s="8"/>
      <c r="M2" s="8"/>
    </row>
    <row r="3" spans="1:22">
      <c r="A3" s="545"/>
      <c r="B3" s="545"/>
      <c r="C3" s="8"/>
      <c r="D3" s="8"/>
      <c r="E3" s="8"/>
      <c r="F3" s="8"/>
      <c r="G3" s="8"/>
      <c r="H3" s="8"/>
      <c r="I3" s="8"/>
      <c r="J3" s="8"/>
      <c r="K3" s="8"/>
      <c r="L3" s="8"/>
      <c r="M3" s="8"/>
      <c r="N3" s="144"/>
      <c r="O3" s="12"/>
      <c r="P3" s="12"/>
      <c r="Q3" s="12"/>
      <c r="R3" s="12"/>
    </row>
    <row r="4" spans="1:22">
      <c r="A4" s="8"/>
      <c r="B4" s="8"/>
      <c r="C4" s="8"/>
      <c r="D4" s="8"/>
      <c r="E4" s="8"/>
      <c r="F4" s="8"/>
      <c r="G4" s="8"/>
      <c r="H4" s="8"/>
      <c r="I4" s="8"/>
      <c r="J4" s="8"/>
      <c r="K4" s="8"/>
      <c r="L4" s="8"/>
      <c r="M4" s="8"/>
      <c r="N4" s="144"/>
      <c r="O4" s="12"/>
      <c r="P4" s="12"/>
      <c r="Q4" s="12"/>
      <c r="R4" s="12"/>
    </row>
    <row r="5" spans="1:22">
      <c r="A5" s="48" t="s">
        <v>107</v>
      </c>
      <c r="B5" s="8" t="s">
        <v>47</v>
      </c>
      <c r="C5" s="8" t="s">
        <v>292</v>
      </c>
      <c r="D5" s="8" t="s">
        <v>49</v>
      </c>
      <c r="E5" s="8" t="s">
        <v>50</v>
      </c>
      <c r="F5" s="8" t="s">
        <v>51</v>
      </c>
      <c r="G5" s="8" t="s">
        <v>52</v>
      </c>
      <c r="H5" s="8" t="s">
        <v>53</v>
      </c>
      <c r="I5" s="8" t="s">
        <v>54</v>
      </c>
      <c r="J5" s="8" t="s">
        <v>55</v>
      </c>
      <c r="K5" s="8" t="s">
        <v>56</v>
      </c>
      <c r="L5" s="8" t="s">
        <v>104</v>
      </c>
      <c r="M5" s="8" t="s">
        <v>29</v>
      </c>
      <c r="N5" s="124" t="s">
        <v>30</v>
      </c>
      <c r="O5" s="8" t="s">
        <v>31</v>
      </c>
      <c r="P5" s="8" t="s">
        <v>32</v>
      </c>
      <c r="Q5" s="8" t="s">
        <v>33</v>
      </c>
      <c r="R5" s="8" t="s">
        <v>293</v>
      </c>
      <c r="S5" s="8" t="s">
        <v>6</v>
      </c>
      <c r="T5" s="8" t="s">
        <v>230</v>
      </c>
      <c r="U5" s="8" t="s">
        <v>8</v>
      </c>
      <c r="V5" s="8" t="s">
        <v>35</v>
      </c>
    </row>
    <row r="6" spans="1:22">
      <c r="A6" s="48" t="s">
        <v>294</v>
      </c>
      <c r="B6" s="8" t="s">
        <v>295</v>
      </c>
      <c r="C6" s="16">
        <v>0</v>
      </c>
      <c r="D6" s="16">
        <v>0</v>
      </c>
      <c r="E6" s="16">
        <v>0</v>
      </c>
      <c r="F6" s="16">
        <v>0</v>
      </c>
      <c r="G6" s="16">
        <v>0</v>
      </c>
      <c r="H6" s="16">
        <v>376</v>
      </c>
      <c r="I6" s="16">
        <v>0</v>
      </c>
      <c r="J6" s="16">
        <v>636.78</v>
      </c>
      <c r="K6" s="16">
        <v>0</v>
      </c>
      <c r="L6" s="16">
        <v>2075.5300000000002</v>
      </c>
      <c r="M6" s="16">
        <v>0</v>
      </c>
      <c r="N6" s="140">
        <v>0</v>
      </c>
      <c r="O6" s="16">
        <v>0</v>
      </c>
      <c r="P6" s="16"/>
      <c r="Q6" s="16"/>
      <c r="R6" s="16">
        <v>5263.46</v>
      </c>
      <c r="S6" s="16">
        <v>1250</v>
      </c>
      <c r="T6" s="16">
        <v>4233.75</v>
      </c>
      <c r="U6" s="16">
        <v>800</v>
      </c>
      <c r="V6" s="16"/>
    </row>
    <row r="7" spans="1:22">
      <c r="A7" s="48" t="s">
        <v>296</v>
      </c>
      <c r="B7" s="8" t="s">
        <v>297</v>
      </c>
      <c r="C7" s="44">
        <v>0</v>
      </c>
      <c r="D7" s="44">
        <v>0</v>
      </c>
      <c r="E7" s="44">
        <v>0</v>
      </c>
      <c r="F7" s="44">
        <v>941.17</v>
      </c>
      <c r="G7" s="44">
        <v>0</v>
      </c>
      <c r="H7" s="44">
        <v>432.59</v>
      </c>
      <c r="I7" s="44">
        <v>0</v>
      </c>
      <c r="J7" s="44">
        <v>350</v>
      </c>
      <c r="K7" s="44">
        <v>0</v>
      </c>
      <c r="L7" s="44">
        <v>556.05999999999995</v>
      </c>
      <c r="M7" s="44">
        <v>0</v>
      </c>
      <c r="N7" s="157">
        <v>1250</v>
      </c>
      <c r="O7" s="44">
        <v>0</v>
      </c>
      <c r="P7" s="16">
        <v>200</v>
      </c>
      <c r="Q7" s="16">
        <v>1250</v>
      </c>
      <c r="R7" s="16"/>
      <c r="S7" s="16"/>
      <c r="T7" s="16"/>
      <c r="U7" s="16"/>
      <c r="V7" s="16"/>
    </row>
    <row r="8" spans="1:22">
      <c r="A8" s="48"/>
      <c r="B8" s="8" t="s">
        <v>13</v>
      </c>
      <c r="C8" s="16">
        <f>SUBTOTAL(109,CRTRevenues[Budget10/11])</f>
        <v>0</v>
      </c>
      <c r="D8" s="16">
        <f>SUBTOTAL(109,CRTRevenues[Actual 10/11])</f>
        <v>0</v>
      </c>
      <c r="E8" s="16">
        <f>SUBTOTAL(109,CRTRevenues[Budget 11/12])</f>
        <v>0</v>
      </c>
      <c r="F8" s="16">
        <f>SUBTOTAL(109,CRTRevenues[Actual 11/12])</f>
        <v>941.17</v>
      </c>
      <c r="G8" s="16">
        <f>SUBTOTAL(109,CRTRevenues[Budget 12/13])</f>
        <v>0</v>
      </c>
      <c r="H8" s="16">
        <f>SUBTOTAL(109,CRTRevenues[Actual 12/13])</f>
        <v>808.58999999999992</v>
      </c>
      <c r="I8" s="16">
        <f>SUBTOTAL(109,CRTRevenues[Budget 13/14])</f>
        <v>0</v>
      </c>
      <c r="J8" s="16">
        <f>SUBTOTAL(109,CRTRevenues[Actual 13/14])</f>
        <v>986.78</v>
      </c>
      <c r="K8" s="16">
        <f>SUBTOTAL(109,CRTRevenues[Budget 14/15])</f>
        <v>0</v>
      </c>
      <c r="L8" s="16">
        <f>SUBTOTAL(109,CRTRevenues[Actual 14/15])</f>
        <v>2631.59</v>
      </c>
      <c r="M8" s="16">
        <f>SUBTOTAL(109,CRTRevenues[Budget 15/16])</f>
        <v>0</v>
      </c>
      <c r="N8" s="140">
        <f>SUBTOTAL(109,CRTRevenues[Actual 15/16])</f>
        <v>1250</v>
      </c>
      <c r="O8" s="140">
        <f>SUBTOTAL(109,CRTRevenues[Budget 16/17])</f>
        <v>0</v>
      </c>
      <c r="P8" s="140">
        <f>SUBTOTAL(109,CRTRevenues[Actual 16/17])</f>
        <v>200</v>
      </c>
      <c r="Q8" s="140">
        <f>SUBTOTAL(109,CRTRevenues[Budget 17/18])</f>
        <v>1250</v>
      </c>
      <c r="R8" s="169">
        <f>SUM(CRTRevenues[Acutal 17/18])</f>
        <v>5263.46</v>
      </c>
      <c r="S8" s="169">
        <f>SUM(CRTRevenues[Budget 18/19])</f>
        <v>1250</v>
      </c>
      <c r="T8" s="169">
        <f>SUM(CRTRevenues[Budget 18/20])</f>
        <v>4233.75</v>
      </c>
      <c r="U8" s="169">
        <f>SUM(CRTRevenues[Budget 19/20])</f>
        <v>800</v>
      </c>
      <c r="V8" s="169"/>
    </row>
    <row r="9" spans="1:22">
      <c r="A9" s="48"/>
      <c r="B9" s="14"/>
      <c r="C9" s="14"/>
      <c r="D9" s="14"/>
      <c r="E9" s="14"/>
      <c r="F9" s="14"/>
      <c r="G9" s="14"/>
      <c r="H9" s="14"/>
      <c r="I9" s="14"/>
      <c r="J9" s="14"/>
      <c r="K9" s="14"/>
      <c r="L9" s="14"/>
      <c r="M9" s="14"/>
      <c r="N9" s="144"/>
      <c r="O9" s="12"/>
      <c r="P9" s="12"/>
      <c r="Q9" s="12"/>
      <c r="R9" s="12"/>
    </row>
    <row r="10" spans="1:22">
      <c r="A10" s="48" t="s">
        <v>107</v>
      </c>
      <c r="B10" s="8" t="s">
        <v>61</v>
      </c>
      <c r="C10" s="8" t="s">
        <v>48</v>
      </c>
      <c r="D10" s="8" t="s">
        <v>49</v>
      </c>
      <c r="E10" s="8" t="s">
        <v>50</v>
      </c>
      <c r="F10" s="8" t="s">
        <v>51</v>
      </c>
      <c r="G10" s="8" t="s">
        <v>52</v>
      </c>
      <c r="H10" s="8" t="s">
        <v>53</v>
      </c>
      <c r="I10" s="8" t="s">
        <v>54</v>
      </c>
      <c r="J10" s="8" t="s">
        <v>55</v>
      </c>
      <c r="K10" s="8" t="s">
        <v>56</v>
      </c>
      <c r="L10" s="8" t="s">
        <v>104</v>
      </c>
      <c r="M10" s="8" t="s">
        <v>29</v>
      </c>
      <c r="N10" s="124" t="s">
        <v>30</v>
      </c>
      <c r="O10" s="8" t="s">
        <v>31</v>
      </c>
      <c r="P10" s="8" t="s">
        <v>32</v>
      </c>
      <c r="Q10" s="8" t="s">
        <v>33</v>
      </c>
      <c r="R10" s="8" t="s">
        <v>34</v>
      </c>
      <c r="S10" s="8" t="s">
        <v>6</v>
      </c>
      <c r="T10" s="8" t="s">
        <v>230</v>
      </c>
      <c r="U10" s="8" t="s">
        <v>8</v>
      </c>
      <c r="V10" s="8" t="s">
        <v>35</v>
      </c>
    </row>
    <row r="11" spans="1:22">
      <c r="A11" s="48" t="s">
        <v>298</v>
      </c>
      <c r="B11" s="8" t="s">
        <v>116</v>
      </c>
      <c r="C11" s="16">
        <v>1200</v>
      </c>
      <c r="D11" s="16">
        <v>1222.8699999999999</v>
      </c>
      <c r="E11" s="16">
        <v>1400</v>
      </c>
      <c r="F11" s="16">
        <v>1530.71</v>
      </c>
      <c r="G11" s="16">
        <v>2200</v>
      </c>
      <c r="H11" s="16">
        <v>2029.61</v>
      </c>
      <c r="I11" s="16">
        <v>1950</v>
      </c>
      <c r="J11" s="16">
        <v>1832.63</v>
      </c>
      <c r="K11" s="16">
        <v>2110</v>
      </c>
      <c r="L11" s="16">
        <v>3595.81</v>
      </c>
      <c r="M11" s="16">
        <v>3200</v>
      </c>
      <c r="N11" s="140">
        <v>2486.2600000000002</v>
      </c>
      <c r="O11" s="16">
        <v>3200</v>
      </c>
      <c r="P11" s="16">
        <v>2270.56</v>
      </c>
      <c r="Q11" s="16">
        <v>3510</v>
      </c>
      <c r="R11" s="16">
        <v>2014.58</v>
      </c>
      <c r="S11" s="16">
        <v>2630</v>
      </c>
      <c r="T11" s="16">
        <v>2114.7399999999998</v>
      </c>
      <c r="U11" s="16">
        <v>1950</v>
      </c>
      <c r="V11" s="16"/>
    </row>
    <row r="12" spans="1:22">
      <c r="A12" s="48" t="s">
        <v>299</v>
      </c>
      <c r="B12" s="8" t="s">
        <v>70</v>
      </c>
      <c r="C12" s="16">
        <v>250</v>
      </c>
      <c r="D12" s="16">
        <v>282.45</v>
      </c>
      <c r="E12" s="16">
        <v>275</v>
      </c>
      <c r="F12" s="16">
        <v>278.12</v>
      </c>
      <c r="G12" s="16">
        <v>250</v>
      </c>
      <c r="H12" s="16">
        <v>392.14</v>
      </c>
      <c r="I12" s="16">
        <v>560</v>
      </c>
      <c r="J12" s="16">
        <v>550.34</v>
      </c>
      <c r="K12" s="16">
        <v>560</v>
      </c>
      <c r="L12" s="16">
        <v>535.42999999999995</v>
      </c>
      <c r="M12" s="16">
        <v>330</v>
      </c>
      <c r="N12" s="140">
        <v>365.43</v>
      </c>
      <c r="O12" s="16">
        <v>330</v>
      </c>
      <c r="P12" s="16">
        <v>308.35000000000002</v>
      </c>
      <c r="Q12" s="16">
        <v>400</v>
      </c>
      <c r="R12" s="16">
        <v>365.67</v>
      </c>
      <c r="S12" s="16">
        <v>350</v>
      </c>
      <c r="T12" s="16">
        <v>274.2</v>
      </c>
      <c r="U12" s="16">
        <v>350</v>
      </c>
      <c r="V12" s="16"/>
    </row>
    <row r="13" spans="1:22">
      <c r="A13" s="48" t="s">
        <v>300</v>
      </c>
      <c r="B13" s="8" t="s">
        <v>77</v>
      </c>
      <c r="C13" s="16">
        <v>300</v>
      </c>
      <c r="D13" s="16">
        <v>440.19</v>
      </c>
      <c r="E13" s="16">
        <v>400</v>
      </c>
      <c r="F13" s="16">
        <v>526.9</v>
      </c>
      <c r="G13" s="16">
        <v>400</v>
      </c>
      <c r="H13" s="16">
        <v>520.62</v>
      </c>
      <c r="I13" s="16">
        <v>450</v>
      </c>
      <c r="J13" s="16">
        <v>641.47</v>
      </c>
      <c r="K13" s="16">
        <v>650</v>
      </c>
      <c r="L13" s="16">
        <v>395.84</v>
      </c>
      <c r="M13" s="16">
        <f>600+130</f>
        <v>730</v>
      </c>
      <c r="N13" s="140">
        <v>468</v>
      </c>
      <c r="O13" s="16">
        <v>600</v>
      </c>
      <c r="P13" s="16"/>
      <c r="Q13" s="16">
        <v>400</v>
      </c>
      <c r="R13" s="16">
        <v>521.12</v>
      </c>
      <c r="S13" s="16">
        <v>400</v>
      </c>
      <c r="T13" s="16">
        <v>512</v>
      </c>
      <c r="U13" s="16">
        <v>350</v>
      </c>
      <c r="V13" s="16"/>
    </row>
    <row r="14" spans="1:22">
      <c r="A14" s="48" t="s">
        <v>301</v>
      </c>
      <c r="B14" s="8" t="s">
        <v>258</v>
      </c>
      <c r="C14" s="16">
        <v>200</v>
      </c>
      <c r="D14" s="16">
        <v>262.32</v>
      </c>
      <c r="E14" s="16">
        <v>300</v>
      </c>
      <c r="F14" s="16">
        <v>351.95</v>
      </c>
      <c r="G14" s="16">
        <v>200</v>
      </c>
      <c r="H14" s="16">
        <v>335.59</v>
      </c>
      <c r="I14" s="16">
        <v>300</v>
      </c>
      <c r="J14" s="16">
        <v>566.71</v>
      </c>
      <c r="K14" s="16">
        <v>450</v>
      </c>
      <c r="L14" s="16">
        <v>1199.93</v>
      </c>
      <c r="M14" s="16">
        <f>500-130</f>
        <v>370</v>
      </c>
      <c r="N14" s="140">
        <v>368.55</v>
      </c>
      <c r="O14" s="16">
        <v>370</v>
      </c>
      <c r="P14" s="16">
        <v>288.11</v>
      </c>
      <c r="Q14" s="16">
        <v>370</v>
      </c>
      <c r="R14" s="16">
        <v>160.28</v>
      </c>
      <c r="S14" s="16">
        <v>200</v>
      </c>
      <c r="T14" s="16">
        <v>104.46</v>
      </c>
      <c r="U14" s="16">
        <v>700</v>
      </c>
      <c r="V14" s="16"/>
    </row>
    <row r="15" spans="1:22">
      <c r="A15" s="48" t="s">
        <v>302</v>
      </c>
      <c r="B15" s="8" t="s">
        <v>303</v>
      </c>
      <c r="C15" s="16">
        <v>250</v>
      </c>
      <c r="D15" s="16">
        <v>111.3</v>
      </c>
      <c r="E15" s="16">
        <v>150</v>
      </c>
      <c r="F15" s="16">
        <v>187.4</v>
      </c>
      <c r="G15" s="16">
        <v>275</v>
      </c>
      <c r="H15" s="16">
        <v>305.39999999999998</v>
      </c>
      <c r="I15" s="16">
        <v>350</v>
      </c>
      <c r="J15" s="16">
        <v>105.1</v>
      </c>
      <c r="K15" s="16">
        <v>350</v>
      </c>
      <c r="L15" s="16">
        <v>224.6</v>
      </c>
      <c r="M15" s="16">
        <v>300</v>
      </c>
      <c r="N15" s="140">
        <v>220.19</v>
      </c>
      <c r="O15" s="16">
        <v>240</v>
      </c>
      <c r="P15" s="16">
        <v>194.36</v>
      </c>
      <c r="Q15" s="16">
        <v>420</v>
      </c>
      <c r="R15" s="16">
        <v>1116.97</v>
      </c>
      <c r="S15" s="16">
        <v>250</v>
      </c>
      <c r="T15" s="16">
        <v>235.26</v>
      </c>
      <c r="U15" s="16">
        <v>0</v>
      </c>
      <c r="V15" s="16"/>
    </row>
    <row r="16" spans="1:22">
      <c r="A16" s="48" t="s">
        <v>304</v>
      </c>
      <c r="B16" s="8" t="s">
        <v>81</v>
      </c>
      <c r="C16" s="16">
        <v>250</v>
      </c>
      <c r="D16" s="16">
        <v>244.35</v>
      </c>
      <c r="E16" s="16">
        <v>250</v>
      </c>
      <c r="F16" s="16">
        <v>314.39999999999998</v>
      </c>
      <c r="G16" s="16">
        <v>300</v>
      </c>
      <c r="H16" s="16">
        <v>403.44</v>
      </c>
      <c r="I16" s="16">
        <v>450</v>
      </c>
      <c r="J16" s="16">
        <v>367.47</v>
      </c>
      <c r="K16" s="16">
        <v>450</v>
      </c>
      <c r="L16" s="16">
        <v>419.82</v>
      </c>
      <c r="M16" s="16">
        <v>450</v>
      </c>
      <c r="N16" s="140">
        <v>441.49</v>
      </c>
      <c r="O16" s="16">
        <v>360</v>
      </c>
      <c r="P16" s="16">
        <v>354.26</v>
      </c>
      <c r="Q16" s="16">
        <v>540</v>
      </c>
      <c r="R16" s="16">
        <v>339.21</v>
      </c>
      <c r="S16" s="16">
        <v>360</v>
      </c>
      <c r="T16" s="16">
        <v>186.02</v>
      </c>
      <c r="U16" s="16">
        <v>20</v>
      </c>
      <c r="V16" s="16"/>
    </row>
    <row r="17" spans="1:23">
      <c r="A17" s="48" t="s">
        <v>305</v>
      </c>
      <c r="B17" s="8" t="s">
        <v>306</v>
      </c>
      <c r="C17" s="16">
        <v>1750</v>
      </c>
      <c r="D17" s="16">
        <v>1643.05</v>
      </c>
      <c r="E17" s="16">
        <v>2350</v>
      </c>
      <c r="F17" s="16">
        <v>3376.58</v>
      </c>
      <c r="G17" s="16">
        <v>3000</v>
      </c>
      <c r="H17" s="16">
        <v>4095.99</v>
      </c>
      <c r="I17" s="16">
        <v>3500</v>
      </c>
      <c r="J17" s="16">
        <v>1803.04</v>
      </c>
      <c r="K17" s="16">
        <v>3000</v>
      </c>
      <c r="L17" s="16">
        <v>2525.8200000000002</v>
      </c>
      <c r="M17" s="16">
        <v>2000</v>
      </c>
      <c r="N17" s="140">
        <v>1109.4000000000001</v>
      </c>
      <c r="O17" s="16">
        <v>500</v>
      </c>
      <c r="P17" s="16">
        <v>295.04000000000002</v>
      </c>
      <c r="Q17" s="16">
        <v>820</v>
      </c>
      <c r="R17" s="16">
        <v>3595.42</v>
      </c>
      <c r="S17" s="16">
        <v>1000</v>
      </c>
      <c r="T17" s="16">
        <v>920</v>
      </c>
      <c r="U17" s="16">
        <v>1000</v>
      </c>
      <c r="V17" s="16"/>
    </row>
    <row r="18" spans="1:23">
      <c r="A18" s="48" t="s">
        <v>307</v>
      </c>
      <c r="B18" s="8" t="s">
        <v>308</v>
      </c>
      <c r="C18" s="16">
        <v>0</v>
      </c>
      <c r="D18" s="16">
        <v>0</v>
      </c>
      <c r="E18" s="16">
        <v>0</v>
      </c>
      <c r="F18" s="16">
        <v>0</v>
      </c>
      <c r="G18" s="16">
        <v>0</v>
      </c>
      <c r="H18" s="16">
        <v>0</v>
      </c>
      <c r="I18" s="16">
        <v>0</v>
      </c>
      <c r="J18" s="16">
        <v>0</v>
      </c>
      <c r="K18" s="16">
        <v>0</v>
      </c>
      <c r="L18" s="16">
        <v>0</v>
      </c>
      <c r="M18" s="16">
        <v>0</v>
      </c>
      <c r="N18" s="140">
        <v>0</v>
      </c>
      <c r="O18" s="16">
        <v>0</v>
      </c>
      <c r="P18" s="16"/>
      <c r="Q18" s="16"/>
      <c r="R18" s="16"/>
      <c r="S18" s="16"/>
      <c r="T18" s="16">
        <v>100</v>
      </c>
      <c r="U18" s="16">
        <v>100</v>
      </c>
      <c r="V18" s="16"/>
      <c r="W18" s="12"/>
    </row>
    <row r="19" spans="1:23">
      <c r="A19" s="48" t="s">
        <v>309</v>
      </c>
      <c r="B19" s="8" t="s">
        <v>289</v>
      </c>
      <c r="C19" s="16">
        <v>112.5</v>
      </c>
      <c r="D19" s="16">
        <v>16.39</v>
      </c>
      <c r="E19" s="16">
        <v>250</v>
      </c>
      <c r="F19" s="16">
        <v>1158.7</v>
      </c>
      <c r="G19" s="16">
        <v>0</v>
      </c>
      <c r="H19" s="16">
        <v>0</v>
      </c>
      <c r="I19" s="16">
        <v>0</v>
      </c>
      <c r="J19" s="16">
        <v>0</v>
      </c>
      <c r="K19" s="16">
        <v>0</v>
      </c>
      <c r="L19" s="16">
        <v>-12.43</v>
      </c>
      <c r="M19" s="16">
        <v>0</v>
      </c>
      <c r="N19" s="140">
        <v>0</v>
      </c>
      <c r="O19" s="16">
        <v>0</v>
      </c>
      <c r="P19" s="16"/>
      <c r="Q19" s="16"/>
      <c r="R19" s="16"/>
      <c r="S19" s="16"/>
      <c r="T19" s="16"/>
      <c r="U19" s="16"/>
      <c r="V19" s="16"/>
    </row>
    <row r="20" spans="1:23">
      <c r="A20" s="48" t="s">
        <v>310</v>
      </c>
      <c r="B20" s="8" t="s">
        <v>251</v>
      </c>
      <c r="C20" s="16">
        <v>0</v>
      </c>
      <c r="D20" s="16">
        <v>0</v>
      </c>
      <c r="E20" s="16">
        <v>0</v>
      </c>
      <c r="F20" s="16">
        <v>0</v>
      </c>
      <c r="G20" s="16">
        <v>0</v>
      </c>
      <c r="H20" s="16">
        <v>0</v>
      </c>
      <c r="I20" s="16">
        <v>0</v>
      </c>
      <c r="J20" s="16">
        <v>0</v>
      </c>
      <c r="K20" s="16">
        <v>0</v>
      </c>
      <c r="L20" s="16">
        <v>0</v>
      </c>
      <c r="M20" s="16">
        <v>0</v>
      </c>
      <c r="N20" s="140">
        <v>115</v>
      </c>
      <c r="O20" s="16">
        <v>0</v>
      </c>
      <c r="P20" s="16">
        <v>-20</v>
      </c>
      <c r="Q20" s="16"/>
      <c r="R20" s="16"/>
      <c r="S20" s="16"/>
      <c r="T20" s="16"/>
      <c r="U20" s="16"/>
      <c r="V20" s="16"/>
    </row>
    <row r="21" spans="1:23">
      <c r="A21" s="48" t="s">
        <v>311</v>
      </c>
      <c r="B21" s="8" t="s">
        <v>87</v>
      </c>
      <c r="C21" s="16">
        <v>0</v>
      </c>
      <c r="D21" s="16"/>
      <c r="E21" s="16">
        <v>100</v>
      </c>
      <c r="F21" s="16">
        <v>0</v>
      </c>
      <c r="G21" s="16">
        <v>1750</v>
      </c>
      <c r="H21" s="16">
        <v>1238.24</v>
      </c>
      <c r="I21" s="16">
        <v>1857.34</v>
      </c>
      <c r="J21" s="16">
        <v>1857.36</v>
      </c>
      <c r="K21" s="16">
        <v>1857.36</v>
      </c>
      <c r="L21" s="16">
        <v>1857.36</v>
      </c>
      <c r="M21" s="16">
        <v>1857.36</v>
      </c>
      <c r="N21" s="140">
        <v>892.45</v>
      </c>
      <c r="O21" s="16">
        <v>0</v>
      </c>
      <c r="P21" s="16">
        <v>487.44</v>
      </c>
      <c r="Q21" s="16"/>
      <c r="R21" s="16">
        <v>487.44</v>
      </c>
      <c r="S21" s="16"/>
      <c r="T21" s="16"/>
      <c r="U21" s="16"/>
      <c r="V21" s="16"/>
    </row>
    <row r="22" spans="1:23">
      <c r="A22" s="48" t="s">
        <v>312</v>
      </c>
      <c r="B22" s="8" t="s">
        <v>89</v>
      </c>
      <c r="C22" s="16">
        <v>1500</v>
      </c>
      <c r="D22" s="16">
        <v>1197.6099999999999</v>
      </c>
      <c r="E22" s="16">
        <v>400</v>
      </c>
      <c r="F22" s="16">
        <v>1603.55</v>
      </c>
      <c r="G22" s="16">
        <v>400</v>
      </c>
      <c r="H22" s="16">
        <v>208.96</v>
      </c>
      <c r="I22" s="16"/>
      <c r="J22" s="16">
        <v>1706.4</v>
      </c>
      <c r="K22" s="16">
        <v>1500</v>
      </c>
      <c r="L22" s="16">
        <v>1585.26</v>
      </c>
      <c r="M22" s="16">
        <v>1500</v>
      </c>
      <c r="N22" s="140">
        <v>2000.9</v>
      </c>
      <c r="O22" s="16">
        <v>900</v>
      </c>
      <c r="P22" s="16">
        <v>811.23</v>
      </c>
      <c r="Q22" s="16">
        <v>1000</v>
      </c>
      <c r="R22" s="16">
        <v>416.15</v>
      </c>
      <c r="S22" s="16">
        <v>1000</v>
      </c>
      <c r="T22" s="16">
        <f>13113.96-T23-T24-T25</f>
        <v>4410.2499999999991</v>
      </c>
      <c r="U22" s="16">
        <v>400</v>
      </c>
      <c r="V22" s="16"/>
    </row>
    <row r="23" spans="1:23">
      <c r="A23" s="48" t="s">
        <v>312</v>
      </c>
      <c r="B23" s="8" t="s">
        <v>313</v>
      </c>
      <c r="C23" s="16">
        <v>1500</v>
      </c>
      <c r="D23" s="16">
        <v>1015.87</v>
      </c>
      <c r="E23" s="16">
        <v>4875</v>
      </c>
      <c r="F23" s="16">
        <v>4136.6499999999996</v>
      </c>
      <c r="G23" s="16">
        <v>1425</v>
      </c>
      <c r="H23" s="16">
        <v>1694.12</v>
      </c>
      <c r="I23" s="16">
        <v>2000</v>
      </c>
      <c r="J23" s="16">
        <v>3998.52</v>
      </c>
      <c r="K23" s="16">
        <v>4300</v>
      </c>
      <c r="L23" s="16">
        <v>3351.63</v>
      </c>
      <c r="M23" s="16">
        <v>4920</v>
      </c>
      <c r="N23" s="140">
        <v>2522.5</v>
      </c>
      <c r="O23" s="16">
        <v>4400</v>
      </c>
      <c r="P23" s="16">
        <v>4154.9799999999996</v>
      </c>
      <c r="Q23" s="16">
        <v>6120</v>
      </c>
      <c r="R23" s="16">
        <v>9427.4500000000007</v>
      </c>
      <c r="S23" s="16">
        <v>6500</v>
      </c>
      <c r="T23" s="16">
        <v>7009</v>
      </c>
      <c r="U23" s="16">
        <v>7615</v>
      </c>
      <c r="V23" s="16"/>
    </row>
    <row r="24" spans="1:23">
      <c r="A24" s="48" t="s">
        <v>312</v>
      </c>
      <c r="B24" s="8" t="s">
        <v>314</v>
      </c>
      <c r="C24" s="16">
        <v>0</v>
      </c>
      <c r="D24" s="16">
        <v>0</v>
      </c>
      <c r="E24" s="16">
        <v>700</v>
      </c>
      <c r="F24" s="16">
        <v>238.32</v>
      </c>
      <c r="G24" s="16">
        <v>1200</v>
      </c>
      <c r="H24" s="16">
        <v>1089.67</v>
      </c>
      <c r="I24" s="16">
        <v>1200</v>
      </c>
      <c r="J24" s="16">
        <v>935.44</v>
      </c>
      <c r="K24" s="16">
        <v>1200</v>
      </c>
      <c r="L24" s="16">
        <v>1268.8699999999999</v>
      </c>
      <c r="M24" s="16">
        <v>1200</v>
      </c>
      <c r="N24" s="140">
        <v>1209.21</v>
      </c>
      <c r="O24" s="16">
        <v>900</v>
      </c>
      <c r="P24" s="16">
        <v>749.12</v>
      </c>
      <c r="Q24" s="16">
        <v>1050</v>
      </c>
      <c r="R24" s="16">
        <v>882.78</v>
      </c>
      <c r="S24" s="16">
        <v>1050</v>
      </c>
      <c r="T24" s="16">
        <v>1155.3499999999999</v>
      </c>
      <c r="U24" s="16">
        <v>650</v>
      </c>
      <c r="V24" s="16"/>
    </row>
    <row r="25" spans="1:23">
      <c r="A25" s="48" t="s">
        <v>312</v>
      </c>
      <c r="B25" s="8" t="s">
        <v>315</v>
      </c>
      <c r="C25" s="16">
        <v>1100</v>
      </c>
      <c r="D25" s="16">
        <v>1416.18</v>
      </c>
      <c r="E25" s="16">
        <v>3300</v>
      </c>
      <c r="F25" s="16">
        <v>2856.27</v>
      </c>
      <c r="G25" s="16">
        <v>2500</v>
      </c>
      <c r="H25" s="16">
        <v>2341.35</v>
      </c>
      <c r="I25" s="16">
        <v>3000</v>
      </c>
      <c r="J25" s="16">
        <v>2998.96</v>
      </c>
      <c r="K25" s="16">
        <v>3000</v>
      </c>
      <c r="L25" s="16">
        <v>4788.32</v>
      </c>
      <c r="M25" s="16">
        <v>3000</v>
      </c>
      <c r="N25" s="140">
        <v>5388.8</v>
      </c>
      <c r="O25" s="16">
        <v>2970</v>
      </c>
      <c r="P25" s="16">
        <v>2703.86</v>
      </c>
      <c r="Q25" s="16">
        <v>500</v>
      </c>
      <c r="R25" s="16">
        <v>310.06</v>
      </c>
      <c r="S25" s="16">
        <v>500</v>
      </c>
      <c r="T25" s="16">
        <v>539.36</v>
      </c>
      <c r="U25" s="16">
        <v>500</v>
      </c>
      <c r="V25" s="16"/>
    </row>
    <row r="26" spans="1:23">
      <c r="A26" s="48"/>
      <c r="B26" s="8" t="s">
        <v>316</v>
      </c>
      <c r="C26" s="16">
        <v>0</v>
      </c>
      <c r="D26" s="16">
        <v>0</v>
      </c>
      <c r="E26" s="16">
        <v>0</v>
      </c>
      <c r="F26" s="16">
        <v>0</v>
      </c>
      <c r="G26" s="16">
        <v>0</v>
      </c>
      <c r="H26" s="16">
        <v>0</v>
      </c>
      <c r="I26" s="16">
        <v>200</v>
      </c>
      <c r="J26" s="16">
        <v>0</v>
      </c>
      <c r="K26" s="16">
        <v>0</v>
      </c>
      <c r="L26" s="16">
        <v>0</v>
      </c>
      <c r="M26" s="16">
        <v>320</v>
      </c>
      <c r="N26" s="140">
        <v>0</v>
      </c>
      <c r="O26" s="16">
        <v>300</v>
      </c>
      <c r="P26" s="16">
        <v>240</v>
      </c>
      <c r="Q26" s="16">
        <v>300</v>
      </c>
      <c r="R26" s="16"/>
      <c r="S26" s="16">
        <v>300</v>
      </c>
      <c r="T26" s="16">
        <v>313.62</v>
      </c>
      <c r="U26" s="16">
        <v>20</v>
      </c>
      <c r="V26" s="16"/>
    </row>
    <row r="27" spans="1:23">
      <c r="A27" s="48" t="s">
        <v>317</v>
      </c>
      <c r="B27" s="8" t="s">
        <v>318</v>
      </c>
      <c r="C27" s="16">
        <v>0</v>
      </c>
      <c r="D27" s="16">
        <v>0</v>
      </c>
      <c r="E27" s="16">
        <v>0</v>
      </c>
      <c r="F27" s="16">
        <v>0</v>
      </c>
      <c r="G27" s="16">
        <v>0</v>
      </c>
      <c r="H27" s="16">
        <v>0</v>
      </c>
      <c r="I27" s="16">
        <v>2210</v>
      </c>
      <c r="J27" s="16">
        <v>2256.2600000000002</v>
      </c>
      <c r="K27" s="16">
        <v>2600</v>
      </c>
      <c r="L27" s="16">
        <v>2118.2600000000002</v>
      </c>
      <c r="M27" s="16">
        <v>2640</v>
      </c>
      <c r="N27" s="140">
        <v>2480.5</v>
      </c>
      <c r="O27" s="16">
        <v>1500</v>
      </c>
      <c r="P27" s="16">
        <v>1463.88</v>
      </c>
      <c r="Q27" s="16">
        <v>1800</v>
      </c>
      <c r="R27" s="16">
        <v>1288.53</v>
      </c>
      <c r="S27" s="16">
        <v>1500</v>
      </c>
      <c r="T27" s="16">
        <v>884.59</v>
      </c>
      <c r="U27" s="16">
        <v>762</v>
      </c>
      <c r="V27" s="16"/>
    </row>
    <row r="28" spans="1:23">
      <c r="A28" s="48"/>
      <c r="B28" s="8" t="s">
        <v>13</v>
      </c>
      <c r="C28" s="16">
        <f>SUBTOTAL(109,CRTExpenses[Budget 10/11])</f>
        <v>8412.5</v>
      </c>
      <c r="D28" s="16">
        <f>SUBTOTAL(109,CRTExpenses[Actual 10/11])</f>
        <v>7852.58</v>
      </c>
      <c r="E28" s="16">
        <f>SUBTOTAL(109,CRTExpenses[Budget 11/12])</f>
        <v>14750</v>
      </c>
      <c r="F28" s="16">
        <f>SUBTOTAL(109,CRTExpenses[Actual 11/12])</f>
        <v>16559.55</v>
      </c>
      <c r="G28" s="16">
        <f>SUBTOTAL(109,CRTExpenses[Budget 12/13])</f>
        <v>13900</v>
      </c>
      <c r="H28" s="16">
        <f>SUBTOTAL(109,CRTExpenses[Actual 12/13])</f>
        <v>14655.130000000001</v>
      </c>
      <c r="I28" s="16">
        <f>SUBTOTAL(109,CRTExpenses[Budget 13/14])</f>
        <v>18027.34</v>
      </c>
      <c r="J28" s="16">
        <f>SUBTOTAL(109,CRTExpenses[Actual 13/14])</f>
        <v>19619.700000000004</v>
      </c>
      <c r="K28" s="16">
        <f>SUBTOTAL(109,CRTExpenses[Budget 14/15])</f>
        <v>22027.360000000001</v>
      </c>
      <c r="L28" s="16">
        <f>SUBTOTAL(109,CRTExpenses[Actual 14/15])</f>
        <v>23854.519999999997</v>
      </c>
      <c r="M28" s="16">
        <f>SUBTOTAL(109,CRTExpenses[Budget 15/16])</f>
        <v>22817.360000000001</v>
      </c>
      <c r="N28" s="140">
        <f>SUBTOTAL(109,CRTExpenses[Actual 15/16])</f>
        <v>20068.68</v>
      </c>
      <c r="O28" s="16">
        <f>SUBTOTAL(109,CRTExpenses[Budget 16/17])</f>
        <v>16570</v>
      </c>
      <c r="P28" s="16">
        <f>SUBTOTAL(109,CRTExpenses[Actual 16/17])</f>
        <v>14301.190000000002</v>
      </c>
      <c r="Q28" s="16">
        <f>SUBTOTAL(109,CRTExpenses[Budget 17/18])</f>
        <v>17230</v>
      </c>
      <c r="R28" s="20">
        <f>SUBTOTAL(109,CRTExpenses[Actual 17/18])</f>
        <v>20925.66</v>
      </c>
      <c r="S28" s="20">
        <f>SUBTOTAL(109,CRTExpenses[Budget 18/19])</f>
        <v>16040</v>
      </c>
      <c r="T28" s="20">
        <f>SUBTOTAL(109,CRTExpenses[Budget 18/20])</f>
        <v>18758.849999999999</v>
      </c>
      <c r="U28" s="20">
        <f>SUBTOTAL(109,CRTExpenses[Budget 19/20])</f>
        <v>14417</v>
      </c>
      <c r="V28" s="8"/>
    </row>
    <row r="29" spans="1:23" ht="19.5" thickBot="1">
      <c r="A29" s="539"/>
      <c r="B29" s="539"/>
      <c r="C29" s="71"/>
      <c r="D29" s="71"/>
      <c r="E29" s="71"/>
      <c r="F29" s="71"/>
      <c r="G29" s="71"/>
      <c r="H29" s="71"/>
      <c r="I29" s="71"/>
      <c r="J29" s="71"/>
      <c r="K29" s="71"/>
      <c r="L29" s="71"/>
      <c r="M29" s="71"/>
      <c r="N29" s="158"/>
      <c r="O29" s="14"/>
      <c r="P29" s="14"/>
      <c r="Q29" s="12"/>
      <c r="R29" s="12"/>
    </row>
    <row r="30" spans="1:23" s="8" customFormat="1" ht="19.5" thickBot="1">
      <c r="B30" s="452" t="s">
        <v>102</v>
      </c>
      <c r="C30" s="27">
        <f>CRTRevenues[[#Totals],[Budget10/11]]-CRTExpenses[[#Totals],[Budget 10/11]]</f>
        <v>-8412.5</v>
      </c>
      <c r="D30" s="27">
        <f>CRTRevenues[[#Totals],[Actual 10/11]]-CRTExpenses[[#Totals],[Actual 10/11]]</f>
        <v>-7852.58</v>
      </c>
      <c r="E30" s="27">
        <f>CRTRevenues[[#Totals],[Budget 11/12]]-CRTExpenses[[#Totals],[Budget 11/12]]</f>
        <v>-14750</v>
      </c>
      <c r="F30" s="27">
        <f>CRTRevenues[[#Totals],[Actual 11/12]]-CRTExpenses[[#Totals],[Actual 11/12]]</f>
        <v>-15618.38</v>
      </c>
      <c r="G30" s="27">
        <f>CRTRevenues[[#Totals],[Budget 12/13]]-CRTExpenses[[#Totals],[Budget 12/13]]</f>
        <v>-13900</v>
      </c>
      <c r="H30" s="27">
        <f>CRTRevenues[[#Totals],[Actual 12/13]]-CRTExpenses[[#Totals],[Actual 12/13]]</f>
        <v>-13846.54</v>
      </c>
      <c r="I30" s="27">
        <f>CRTRevenues[[#Totals],[Budget 13/14]]-CRTExpenses[[#Totals],[Budget 13/14]]</f>
        <v>-18027.34</v>
      </c>
      <c r="J30" s="27">
        <f>CRTRevenues[[#Totals],[Actual 13/14]]-CRTExpenses[[#Totals],[Actual 13/14]]</f>
        <v>-18632.920000000006</v>
      </c>
      <c r="K30" s="27">
        <f>CRTRevenues[[#Totals],[Budget 14/15]]-CRTExpenses[[#Totals],[Budget 14/15]]</f>
        <v>-22027.360000000001</v>
      </c>
      <c r="L30" s="27">
        <f>CRTRevenues[[#Totals],[Actual 14/15]]-CRTExpenses[[#Totals],[Actual 14/15]]</f>
        <v>-21222.929999999997</v>
      </c>
      <c r="M30" s="27">
        <f>CRTRevenues[[#Totals],[Budget 15/16]]-CRTExpenses[[#Totals],[Budget 15/16]]</f>
        <v>-22817.360000000001</v>
      </c>
      <c r="N30" s="27">
        <f>CRTRevenues[[#Totals],[Actual 15/16]]-CRTExpenses[[#Totals],[Actual 15/16]]</f>
        <v>-18818.68</v>
      </c>
      <c r="O30" s="27">
        <f>CRTRevenues[[#Totals],[Budget 16/17]]-CRTExpenses[[#Totals],[Budget 16/17]]</f>
        <v>-16570</v>
      </c>
      <c r="P30" s="27">
        <f>CRTRevenues[[#Totals],[Actual 16/17]]-CRTExpenses[[#Totals],[Actual 16/17]]</f>
        <v>-14101.190000000002</v>
      </c>
      <c r="Q30" s="27">
        <f>CRTRevenues[[#Totals],[Budget 17/18]]-CRTExpenses[[#Totals],[Budget 17/18]]</f>
        <v>-15980</v>
      </c>
      <c r="R30" s="27">
        <f>CRTRevenues[[#Totals],[Acutal 17/18]]-CRTExpenses[[#Totals],[Actual 17/18]]</f>
        <v>-15662.2</v>
      </c>
      <c r="S30" s="27">
        <f>CRTRevenues[[#Totals],[Budget 18/19]]-CRTExpenses[[#Totals],[Budget 18/19]]</f>
        <v>-14790</v>
      </c>
      <c r="T30" s="27">
        <f>CRTRevenues[[#Totals],[Budget 18/20]]-CRTExpenses[[#Totals],[Budget 18/20]]</f>
        <v>-14525.099999999999</v>
      </c>
      <c r="U30" s="27">
        <f>CRTRevenues[[#Totals],[Budget 19/20]]-CRTExpenses[[#Totals],[Budget 19/20]]</f>
        <v>-13617</v>
      </c>
      <c r="V30" s="27"/>
    </row>
    <row r="31" spans="1:23">
      <c r="A31" s="12"/>
      <c r="B31" s="12"/>
      <c r="C31" s="12"/>
      <c r="D31" s="12"/>
      <c r="E31" s="12"/>
      <c r="F31" s="12"/>
      <c r="G31" s="12"/>
      <c r="H31" s="12"/>
      <c r="I31" s="12"/>
      <c r="J31" s="12"/>
      <c r="K31" s="12"/>
      <c r="L31" s="12"/>
      <c r="M31" s="12"/>
      <c r="N31" s="158"/>
      <c r="O31" s="14"/>
      <c r="P31" s="14"/>
      <c r="Q31" s="12"/>
      <c r="R31" s="12"/>
    </row>
    <row r="32" spans="1:23">
      <c r="A32" s="12"/>
      <c r="B32" s="12"/>
      <c r="C32" s="12"/>
      <c r="D32" s="12"/>
      <c r="E32" s="12"/>
      <c r="F32" s="12"/>
      <c r="G32" s="12"/>
      <c r="H32" s="12"/>
      <c r="I32" s="12"/>
    </row>
    <row r="33" spans="1:9">
      <c r="A33" s="12"/>
      <c r="B33" s="12"/>
      <c r="C33" s="12"/>
      <c r="D33" s="12"/>
      <c r="E33" s="12"/>
      <c r="F33" s="12"/>
      <c r="G33" s="12"/>
      <c r="H33" s="12"/>
      <c r="I33" s="12"/>
    </row>
    <row r="34" spans="1:9">
      <c r="A34" s="12"/>
      <c r="B34" s="12"/>
      <c r="C34" s="12"/>
      <c r="D34" s="12"/>
      <c r="E34" s="12"/>
      <c r="F34" s="12"/>
      <c r="G34" s="12"/>
      <c r="H34" s="12"/>
      <c r="I34" s="12"/>
    </row>
    <row r="35" spans="1:9">
      <c r="A35" s="12"/>
      <c r="B35" s="12"/>
      <c r="C35" s="12"/>
      <c r="D35" s="12"/>
      <c r="E35" s="12"/>
      <c r="F35" s="12"/>
      <c r="G35" s="12"/>
      <c r="H35" s="12"/>
      <c r="I35" s="12"/>
    </row>
    <row r="36" spans="1:9">
      <c r="A36" s="12"/>
      <c r="B36" s="12"/>
      <c r="C36" s="12"/>
      <c r="D36" s="12"/>
      <c r="E36" s="12"/>
      <c r="F36" s="12"/>
      <c r="G36" s="12"/>
      <c r="H36" s="12"/>
      <c r="I36" s="12"/>
    </row>
    <row r="37" spans="1:9">
      <c r="A37" s="12"/>
      <c r="B37" s="12"/>
      <c r="C37" s="12"/>
      <c r="D37" s="12"/>
      <c r="E37" s="12"/>
      <c r="F37" s="12"/>
      <c r="G37" s="12"/>
      <c r="H37" s="12"/>
      <c r="I37" s="12"/>
    </row>
    <row r="38" spans="1:9">
      <c r="A38" s="12"/>
      <c r="B38" s="12"/>
      <c r="C38" s="12"/>
      <c r="D38" s="12"/>
      <c r="E38" s="12"/>
      <c r="F38" s="12"/>
      <c r="G38" s="12"/>
      <c r="H38" s="12"/>
      <c r="I38" s="12"/>
    </row>
    <row r="39" spans="1:9">
      <c r="A39" s="12"/>
      <c r="B39" s="12"/>
      <c r="C39" s="12"/>
      <c r="D39" s="12"/>
      <c r="E39" s="12"/>
      <c r="F39" s="12"/>
      <c r="G39" s="12"/>
      <c r="H39" s="12"/>
      <c r="I39" s="12"/>
    </row>
  </sheetData>
  <customSheetViews>
    <customSheetView guid="{DC934874-AE9C-4DF4-8DA8-4394DABABB42}" showRuler="0">
      <selection activeCell="G14" sqref="G14"/>
      <pageMargins left="0" right="0" top="0" bottom="0" header="0" footer="0"/>
      <pageSetup orientation="portrait"/>
      <headerFooter alignWithMargins="0"/>
    </customSheetView>
    <customSheetView guid="{7FD89B2E-4983-4B8D-ABA2-A07F685A0C6E}" showRuler="0">
      <selection activeCell="E18" sqref="E18"/>
      <pageMargins left="0" right="0" top="0" bottom="0" header="0" footer="0"/>
      <pageSetup orientation="portrait"/>
      <headerFooter alignWithMargins="0"/>
    </customSheetView>
    <customSheetView guid="{84D8AC11-A493-4338-8044-6F4154C29695}" showRuler="0">
      <selection activeCell="G18" sqref="G18"/>
      <pageMargins left="0" right="0" top="0" bottom="0" header="0" footer="0"/>
      <pageSetup orientation="portrait"/>
      <headerFooter alignWithMargins="0"/>
    </customSheetView>
    <customSheetView guid="{BB157E55-0A2E-4D9F-A3BF-E83E5442FC27}" showPageBreaks="1" showRuler="0">
      <selection activeCell="G18" sqref="G18"/>
      <pageMargins left="0" right="0" top="0" bottom="0" header="0" footer="0"/>
      <pageSetup orientation="portrait"/>
      <headerFooter alignWithMargins="0"/>
    </customSheetView>
  </customSheetViews>
  <mergeCells count="3">
    <mergeCell ref="A3:B3"/>
    <mergeCell ref="A29:B29"/>
    <mergeCell ref="A1:C1"/>
  </mergeCells>
  <phoneticPr fontId="0" type="noConversion"/>
  <pageMargins left="0" right="0" top="0.98425196850393704" bottom="0.98425196850393704" header="0.51181102362204722" footer="0.51181102362204722"/>
  <pageSetup orientation="landscape" blackAndWhite="1" r:id="rId1"/>
  <headerFooter alignWithMargins="0"/>
  <legacyDrawing r:id="rId2"/>
  <tableParts count="2">
    <tablePart r:id="rId3"/>
    <tablePart r:id="rId4"/>
  </tablePar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theme="1"/>
    <pageSetUpPr fitToPage="1"/>
  </sheetPr>
  <dimension ref="A1:V40"/>
  <sheetViews>
    <sheetView showGridLines="0" zoomScale="90" zoomScaleNormal="90" workbookViewId="0">
      <selection activeCell="W31" sqref="W29:W31"/>
    </sheetView>
  </sheetViews>
  <sheetFormatPr defaultColWidth="11.42578125" defaultRowHeight="12.75"/>
  <cols>
    <col min="1" max="1" width="13.85546875" style="8" customWidth="1"/>
    <col min="2" max="2" width="29.42578125" style="8" customWidth="1"/>
    <col min="3" max="13" width="15.42578125" style="8" hidden="1" customWidth="1"/>
    <col min="14" max="14" width="14.5703125" style="138" hidden="1" customWidth="1"/>
    <col min="15" max="15" width="14.5703125" style="8" hidden="1" customWidth="1"/>
    <col min="16" max="16" width="1.5703125" style="8" hidden="1" customWidth="1"/>
    <col min="17" max="17" width="15.7109375" style="8" customWidth="1"/>
    <col min="18" max="18" width="15.42578125" style="8" customWidth="1"/>
    <col min="19" max="19" width="14.5703125" style="8" customWidth="1"/>
    <col min="20" max="21" width="14.5703125" style="8" bestFit="1" customWidth="1"/>
    <col min="22" max="16384" width="11.42578125" style="8"/>
  </cols>
  <sheetData>
    <row r="1" spans="1:22" ht="18">
      <c r="A1" s="534" t="s">
        <v>319</v>
      </c>
      <c r="B1" s="536"/>
    </row>
    <row r="2" spans="1:22">
      <c r="A2" s="28" t="s">
        <v>186</v>
      </c>
    </row>
    <row r="4" spans="1:22">
      <c r="A4" s="48" t="s">
        <v>107</v>
      </c>
      <c r="B4" s="8" t="s">
        <v>47</v>
      </c>
      <c r="C4" s="8" t="s">
        <v>48</v>
      </c>
      <c r="D4" s="8" t="s">
        <v>49</v>
      </c>
      <c r="E4" s="8" t="s">
        <v>50</v>
      </c>
      <c r="F4" s="8" t="s">
        <v>51</v>
      </c>
      <c r="G4" s="8" t="s">
        <v>52</v>
      </c>
      <c r="H4" s="8" t="s">
        <v>53</v>
      </c>
      <c r="I4" s="8" t="s">
        <v>54</v>
      </c>
      <c r="J4" s="8" t="s">
        <v>55</v>
      </c>
      <c r="K4" s="8" t="s">
        <v>56</v>
      </c>
      <c r="L4" s="8" t="s">
        <v>104</v>
      </c>
      <c r="M4" s="8" t="s">
        <v>29</v>
      </c>
      <c r="N4" s="124" t="s">
        <v>30</v>
      </c>
      <c r="O4" s="8" t="s">
        <v>31</v>
      </c>
      <c r="P4" s="8" t="s">
        <v>32</v>
      </c>
      <c r="Q4" s="8" t="s">
        <v>33</v>
      </c>
      <c r="R4" s="8" t="s">
        <v>34</v>
      </c>
      <c r="S4" s="8" t="s">
        <v>6</v>
      </c>
      <c r="T4" s="8" t="s">
        <v>8</v>
      </c>
      <c r="U4" s="8" t="s">
        <v>35</v>
      </c>
    </row>
    <row r="5" spans="1:22">
      <c r="A5" s="48" t="s">
        <v>320</v>
      </c>
      <c r="B5" s="8" t="s">
        <v>295</v>
      </c>
      <c r="C5" s="16">
        <v>0</v>
      </c>
      <c r="D5" s="16">
        <v>0</v>
      </c>
      <c r="E5" s="16">
        <v>0</v>
      </c>
      <c r="F5" s="16">
        <v>0</v>
      </c>
      <c r="G5" s="16">
        <v>0</v>
      </c>
      <c r="H5" s="16">
        <v>0</v>
      </c>
      <c r="I5" s="16">
        <v>0</v>
      </c>
      <c r="J5" s="16">
        <v>120.53</v>
      </c>
      <c r="K5" s="16">
        <v>0</v>
      </c>
      <c r="L5" s="16">
        <v>409.05</v>
      </c>
      <c r="M5" s="16">
        <v>0</v>
      </c>
      <c r="N5" s="140">
        <v>443.6</v>
      </c>
      <c r="O5" s="16">
        <v>0</v>
      </c>
      <c r="P5" s="16"/>
      <c r="Q5" s="16"/>
      <c r="R5" s="16">
        <v>521.15</v>
      </c>
      <c r="S5" s="16"/>
      <c r="T5" s="44"/>
      <c r="U5" s="44"/>
    </row>
    <row r="6" spans="1:22">
      <c r="A6" s="48" t="s">
        <v>321</v>
      </c>
      <c r="B6" s="8" t="s">
        <v>297</v>
      </c>
      <c r="C6" s="16">
        <v>0</v>
      </c>
      <c r="D6" s="16">
        <v>0</v>
      </c>
      <c r="E6" s="16">
        <v>0</v>
      </c>
      <c r="F6" s="16">
        <v>1546.59</v>
      </c>
      <c r="G6" s="16">
        <v>0</v>
      </c>
      <c r="H6" s="16">
        <v>807.47</v>
      </c>
      <c r="I6" s="16">
        <v>0</v>
      </c>
      <c r="J6" s="16">
        <v>483.77</v>
      </c>
      <c r="K6" s="16">
        <v>0</v>
      </c>
      <c r="L6" s="16">
        <v>3857.46</v>
      </c>
      <c r="M6" s="16">
        <v>0</v>
      </c>
      <c r="N6" s="140">
        <v>2704.45</v>
      </c>
      <c r="O6" s="16">
        <v>0</v>
      </c>
      <c r="P6" s="16">
        <v>613.15</v>
      </c>
      <c r="Q6" s="16">
        <v>500</v>
      </c>
      <c r="R6" s="16">
        <v>328.3</v>
      </c>
      <c r="S6" s="16">
        <v>500</v>
      </c>
      <c r="T6" s="474">
        <v>500</v>
      </c>
      <c r="U6" s="44"/>
    </row>
    <row r="7" spans="1:22">
      <c r="A7" s="48"/>
      <c r="B7" s="8" t="s">
        <v>13</v>
      </c>
      <c r="C7" s="16">
        <f>SUBTOTAL(109,FoodbankRevenues[Budget 10/11])</f>
        <v>0</v>
      </c>
      <c r="D7" s="16">
        <f>SUBTOTAL(109,FoodbankRevenues[Actual 10/11])</f>
        <v>0</v>
      </c>
      <c r="E7" s="16">
        <f>SUBTOTAL(109,FoodbankRevenues[Budget 11/12])</f>
        <v>0</v>
      </c>
      <c r="F7" s="16">
        <f>SUBTOTAL(109,FoodbankRevenues[Actual 11/12])</f>
        <v>1546.59</v>
      </c>
      <c r="G7" s="16">
        <f>SUBTOTAL(109,FoodbankRevenues[Budget 12/13])</f>
        <v>0</v>
      </c>
      <c r="H7" s="16">
        <f>SUBTOTAL(109,FoodbankRevenues[Actual 12/13])</f>
        <v>807.47</v>
      </c>
      <c r="I7" s="16">
        <f>SUBTOTAL(109,FoodbankRevenues[Budget 13/14])</f>
        <v>0</v>
      </c>
      <c r="J7" s="16">
        <f>SUBTOTAL(109,FoodbankRevenues[Actual 13/14])</f>
        <v>604.29999999999995</v>
      </c>
      <c r="K7" s="16">
        <f>SUBTOTAL(109,FoodbankRevenues[Budget 14/15])</f>
        <v>0</v>
      </c>
      <c r="L7" s="16">
        <f>SUBTOTAL(109,FoodbankRevenues[Actual 14/15])</f>
        <v>4266.51</v>
      </c>
      <c r="M7" s="16">
        <f>SUBTOTAL(109,FoodbankRevenues[Budget 15/16])</f>
        <v>0</v>
      </c>
      <c r="N7" s="140">
        <f>SUBTOTAL(109,FoodbankRevenues[Actual 15/16])</f>
        <v>3148.0499999999997</v>
      </c>
      <c r="O7" s="16">
        <f>SUBTOTAL(109,FoodbankRevenues[Budget 16/17])</f>
        <v>0</v>
      </c>
      <c r="P7" s="16">
        <f>SUBTOTAL(109,FoodbankRevenues[Actual 16/17])</f>
        <v>613.15</v>
      </c>
      <c r="Q7" s="15">
        <f>SUBTOTAL(109,FoodbankRevenues[Budget 17/18])</f>
        <v>500</v>
      </c>
      <c r="R7" s="15">
        <f>SUBTOTAL(109,FoodbankRevenues[Actual 17/18])</f>
        <v>849.45</v>
      </c>
      <c r="S7" s="15">
        <f>SUBTOTAL(109,FoodbankRevenues[Budget 18/19])</f>
        <v>500</v>
      </c>
      <c r="T7" s="15">
        <f>SUBTOTAL(109,FoodbankRevenues[Budget 19/20])</f>
        <v>500</v>
      </c>
      <c r="U7" s="15"/>
    </row>
    <row r="8" spans="1:22">
      <c r="A8" s="48"/>
    </row>
    <row r="10" spans="1:22">
      <c r="A10" s="48" t="s">
        <v>107</v>
      </c>
      <c r="B10" s="8" t="s">
        <v>61</v>
      </c>
      <c r="C10" s="8" t="s">
        <v>48</v>
      </c>
      <c r="D10" s="8" t="s">
        <v>49</v>
      </c>
      <c r="E10" s="8" t="s">
        <v>50</v>
      </c>
      <c r="F10" s="8" t="s">
        <v>51</v>
      </c>
      <c r="G10" s="8" t="s">
        <v>52</v>
      </c>
      <c r="H10" s="8" t="s">
        <v>53</v>
      </c>
      <c r="I10" s="8" t="s">
        <v>54</v>
      </c>
      <c r="J10" s="8" t="s">
        <v>55</v>
      </c>
      <c r="K10" s="8" t="s">
        <v>56</v>
      </c>
      <c r="L10" s="8" t="s">
        <v>104</v>
      </c>
      <c r="M10" s="8" t="s">
        <v>29</v>
      </c>
      <c r="N10" s="124" t="s">
        <v>30</v>
      </c>
      <c r="O10" s="8" t="s">
        <v>31</v>
      </c>
      <c r="P10" s="8" t="s">
        <v>32</v>
      </c>
      <c r="Q10" s="8" t="s">
        <v>33</v>
      </c>
      <c r="R10" s="8" t="s">
        <v>34</v>
      </c>
      <c r="S10" s="8" t="s">
        <v>6</v>
      </c>
      <c r="T10" s="8" t="s">
        <v>8</v>
      </c>
      <c r="U10" s="8" t="s">
        <v>35</v>
      </c>
    </row>
    <row r="11" spans="1:22">
      <c r="A11" s="48" t="s">
        <v>322</v>
      </c>
      <c r="B11" s="8" t="s">
        <v>116</v>
      </c>
      <c r="C11" s="44">
        <v>750</v>
      </c>
      <c r="D11" s="44">
        <v>401.57</v>
      </c>
      <c r="E11" s="44">
        <v>750</v>
      </c>
      <c r="F11" s="44">
        <v>647.46</v>
      </c>
      <c r="G11" s="44">
        <v>600</v>
      </c>
      <c r="H11" s="44">
        <v>871.87</v>
      </c>
      <c r="I11" s="44">
        <v>750</v>
      </c>
      <c r="J11" s="44">
        <v>690.54</v>
      </c>
      <c r="K11" s="44">
        <v>750</v>
      </c>
      <c r="L11" s="44">
        <v>503.59</v>
      </c>
      <c r="M11" s="44">
        <v>700</v>
      </c>
      <c r="N11" s="157">
        <v>906.49</v>
      </c>
      <c r="O11" s="44">
        <v>700</v>
      </c>
      <c r="P11" s="44">
        <v>955.24</v>
      </c>
      <c r="Q11" s="44">
        <v>900</v>
      </c>
      <c r="R11" s="44">
        <v>760.12</v>
      </c>
      <c r="S11" s="44">
        <v>700</v>
      </c>
      <c r="T11" s="44">
        <v>1080</v>
      </c>
      <c r="U11" s="44"/>
    </row>
    <row r="12" spans="1:22">
      <c r="A12" s="48" t="s">
        <v>323</v>
      </c>
      <c r="B12" s="8" t="s">
        <v>70</v>
      </c>
      <c r="C12" s="44">
        <v>250</v>
      </c>
      <c r="D12" s="44">
        <v>227.4</v>
      </c>
      <c r="E12" s="44">
        <v>250</v>
      </c>
      <c r="F12" s="44">
        <v>227.4</v>
      </c>
      <c r="G12" s="44">
        <v>250</v>
      </c>
      <c r="H12" s="44">
        <v>227.4</v>
      </c>
      <c r="I12" s="44">
        <v>250</v>
      </c>
      <c r="J12" s="44">
        <v>227.4</v>
      </c>
      <c r="K12" s="44">
        <v>75</v>
      </c>
      <c r="L12" s="44">
        <v>189.5</v>
      </c>
      <c r="M12" s="44">
        <v>0</v>
      </c>
      <c r="N12" s="157">
        <v>0</v>
      </c>
      <c r="O12" s="44">
        <v>0</v>
      </c>
      <c r="P12" s="44"/>
      <c r="Q12" s="44"/>
      <c r="R12" s="44"/>
      <c r="S12" s="44"/>
      <c r="T12" s="44"/>
      <c r="U12" s="44"/>
    </row>
    <row r="13" spans="1:22">
      <c r="A13" s="48" t="s">
        <v>324</v>
      </c>
      <c r="B13" s="8" t="s">
        <v>77</v>
      </c>
      <c r="C13" s="44">
        <v>100</v>
      </c>
      <c r="D13" s="44">
        <v>1.02</v>
      </c>
      <c r="E13" s="44">
        <v>100</v>
      </c>
      <c r="F13" s="44">
        <v>0.61</v>
      </c>
      <c r="G13" s="44">
        <v>50</v>
      </c>
      <c r="H13" s="44">
        <v>0</v>
      </c>
      <c r="I13" s="44">
        <v>25</v>
      </c>
      <c r="J13" s="44">
        <v>12.15</v>
      </c>
      <c r="K13" s="44">
        <v>25</v>
      </c>
      <c r="L13" s="44">
        <v>51.52</v>
      </c>
      <c r="M13" s="44">
        <v>25</v>
      </c>
      <c r="N13" s="157">
        <v>20</v>
      </c>
      <c r="O13" s="44">
        <v>25</v>
      </c>
      <c r="P13" s="44"/>
      <c r="Q13" s="44">
        <v>40</v>
      </c>
      <c r="R13" s="44">
        <v>25.57</v>
      </c>
      <c r="S13" s="44">
        <v>40</v>
      </c>
      <c r="T13" s="44">
        <v>15</v>
      </c>
      <c r="U13" s="44"/>
    </row>
    <row r="14" spans="1:22">
      <c r="A14" s="48" t="s">
        <v>325</v>
      </c>
      <c r="B14" s="8" t="s">
        <v>226</v>
      </c>
      <c r="C14" s="44">
        <v>225</v>
      </c>
      <c r="D14" s="44">
        <v>213.77</v>
      </c>
      <c r="E14" s="44">
        <v>225</v>
      </c>
      <c r="F14" s="44">
        <v>10.71</v>
      </c>
      <c r="G14" s="44">
        <v>200</v>
      </c>
      <c r="H14" s="44">
        <v>126.34</v>
      </c>
      <c r="I14" s="44">
        <v>200</v>
      </c>
      <c r="J14" s="44">
        <v>0</v>
      </c>
      <c r="K14" s="44">
        <v>100</v>
      </c>
      <c r="L14" s="44">
        <v>601.07000000000005</v>
      </c>
      <c r="M14" s="44">
        <v>100</v>
      </c>
      <c r="N14" s="157">
        <v>258.7</v>
      </c>
      <c r="O14" s="44">
        <v>150</v>
      </c>
      <c r="P14" s="44">
        <v>481.84</v>
      </c>
      <c r="Q14" s="44">
        <v>150</v>
      </c>
      <c r="R14" s="44">
        <v>68.56</v>
      </c>
      <c r="S14" s="44">
        <v>150</v>
      </c>
      <c r="T14" s="44">
        <v>0</v>
      </c>
      <c r="U14" s="44"/>
    </row>
    <row r="15" spans="1:22">
      <c r="A15" s="48" t="s">
        <v>326</v>
      </c>
      <c r="B15" s="8" t="s">
        <v>327</v>
      </c>
      <c r="C15" s="16">
        <v>50</v>
      </c>
      <c r="D15" s="16">
        <v>0</v>
      </c>
      <c r="E15" s="16">
        <v>50</v>
      </c>
      <c r="F15" s="16">
        <v>0</v>
      </c>
      <c r="G15" s="16">
        <v>100</v>
      </c>
      <c r="H15" s="16">
        <v>192.22</v>
      </c>
      <c r="I15" s="16">
        <v>200</v>
      </c>
      <c r="J15" s="16">
        <v>120.74</v>
      </c>
      <c r="K15" s="16">
        <v>150</v>
      </c>
      <c r="L15" s="16">
        <v>32.56</v>
      </c>
      <c r="M15" s="16">
        <v>150</v>
      </c>
      <c r="N15" s="157">
        <v>40.08</v>
      </c>
      <c r="O15" s="44">
        <v>300</v>
      </c>
      <c r="P15" s="44"/>
      <c r="Q15" s="44">
        <v>300</v>
      </c>
      <c r="R15" s="44"/>
      <c r="S15" s="44">
        <v>150</v>
      </c>
      <c r="T15" s="44">
        <v>50</v>
      </c>
      <c r="U15" s="44"/>
      <c r="V15" s="8" t="s">
        <v>328</v>
      </c>
    </row>
    <row r="16" spans="1:22">
      <c r="A16" s="48" t="s">
        <v>329</v>
      </c>
      <c r="B16" s="8" t="s">
        <v>81</v>
      </c>
      <c r="C16" s="44">
        <v>150</v>
      </c>
      <c r="D16" s="44">
        <v>579.01</v>
      </c>
      <c r="E16" s="44">
        <v>800</v>
      </c>
      <c r="F16" s="44">
        <v>509.4</v>
      </c>
      <c r="G16" s="44">
        <v>500</v>
      </c>
      <c r="H16" s="44">
        <v>356.29</v>
      </c>
      <c r="I16" s="44">
        <v>500</v>
      </c>
      <c r="J16" s="44">
        <v>513.16999999999996</v>
      </c>
      <c r="K16" s="44">
        <v>500</v>
      </c>
      <c r="L16" s="44">
        <v>759.62</v>
      </c>
      <c r="M16" s="44">
        <v>400</v>
      </c>
      <c r="N16" s="157">
        <v>295.56</v>
      </c>
      <c r="O16" s="44">
        <v>400</v>
      </c>
      <c r="P16" s="44">
        <v>366.55</v>
      </c>
      <c r="Q16" s="44">
        <v>300</v>
      </c>
      <c r="R16" s="44">
        <v>123.18</v>
      </c>
      <c r="S16" s="44">
        <v>200</v>
      </c>
      <c r="T16" s="44">
        <v>200</v>
      </c>
      <c r="U16" s="44"/>
    </row>
    <row r="17" spans="1:21">
      <c r="A17" s="48" t="s">
        <v>330</v>
      </c>
      <c r="B17" s="8" t="s">
        <v>331</v>
      </c>
      <c r="C17" s="16">
        <v>0</v>
      </c>
      <c r="D17" s="16">
        <v>0</v>
      </c>
      <c r="E17" s="16">
        <v>0</v>
      </c>
      <c r="F17" s="16">
        <v>10</v>
      </c>
      <c r="G17" s="16">
        <v>0</v>
      </c>
      <c r="H17" s="16">
        <v>132.88</v>
      </c>
      <c r="I17" s="16">
        <v>0</v>
      </c>
      <c r="J17" s="16">
        <v>0</v>
      </c>
      <c r="K17" s="16">
        <v>0</v>
      </c>
      <c r="L17" s="16">
        <v>21.47</v>
      </c>
      <c r="M17" s="16">
        <v>0</v>
      </c>
      <c r="N17" s="157">
        <v>0</v>
      </c>
      <c r="O17" s="44">
        <v>0</v>
      </c>
      <c r="P17" s="44"/>
      <c r="Q17" s="44"/>
      <c r="R17" s="44"/>
      <c r="S17" s="44"/>
      <c r="T17" s="44"/>
      <c r="U17" s="44"/>
    </row>
    <row r="18" spans="1:21">
      <c r="A18" s="48" t="s">
        <v>332</v>
      </c>
      <c r="B18" s="8" t="s">
        <v>333</v>
      </c>
      <c r="C18" s="16">
        <v>270</v>
      </c>
      <c r="D18" s="16">
        <v>0</v>
      </c>
      <c r="E18" s="16">
        <v>270</v>
      </c>
      <c r="F18" s="16">
        <v>0</v>
      </c>
      <c r="G18" s="16">
        <v>0</v>
      </c>
      <c r="H18" s="16">
        <v>0</v>
      </c>
      <c r="I18" s="16">
        <v>0</v>
      </c>
      <c r="J18" s="16">
        <v>150</v>
      </c>
      <c r="K18" s="16">
        <v>0</v>
      </c>
      <c r="L18" s="16"/>
      <c r="M18" s="16">
        <v>0</v>
      </c>
      <c r="N18" s="157">
        <v>0</v>
      </c>
      <c r="O18" s="44">
        <v>150</v>
      </c>
      <c r="P18" s="44">
        <v>150</v>
      </c>
      <c r="Q18" s="44">
        <v>150</v>
      </c>
      <c r="R18" s="44">
        <v>150</v>
      </c>
      <c r="S18" s="44">
        <v>150</v>
      </c>
      <c r="T18" s="44">
        <v>100</v>
      </c>
      <c r="U18" s="44"/>
    </row>
    <row r="19" spans="1:21">
      <c r="A19" s="48" t="s">
        <v>334</v>
      </c>
      <c r="B19" s="8" t="s">
        <v>87</v>
      </c>
      <c r="C19" s="16">
        <v>262.02999999999997</v>
      </c>
      <c r="D19" s="16">
        <v>262.08</v>
      </c>
      <c r="E19" s="16">
        <v>262.08</v>
      </c>
      <c r="F19" s="16">
        <v>261.98</v>
      </c>
      <c r="G19" s="16">
        <f>12*9.1</f>
        <v>109.19999999999999</v>
      </c>
      <c r="H19" s="16">
        <v>109.2</v>
      </c>
      <c r="I19" s="16">
        <v>0</v>
      </c>
      <c r="J19" s="16">
        <v>-0.02</v>
      </c>
      <c r="K19" s="16">
        <v>0</v>
      </c>
      <c r="L19" s="16">
        <v>0</v>
      </c>
      <c r="M19" s="16">
        <v>0</v>
      </c>
      <c r="N19" s="157">
        <v>0</v>
      </c>
      <c r="O19" s="44">
        <v>0</v>
      </c>
      <c r="P19" s="44">
        <v>53.29</v>
      </c>
      <c r="Q19" s="44"/>
      <c r="R19" s="44"/>
      <c r="S19" s="44"/>
      <c r="T19" s="44"/>
      <c r="U19" s="44"/>
    </row>
    <row r="20" spans="1:21">
      <c r="A20" s="48" t="s">
        <v>335</v>
      </c>
      <c r="B20" s="8" t="s">
        <v>89</v>
      </c>
      <c r="C20" s="16">
        <v>250</v>
      </c>
      <c r="D20" s="16">
        <v>68.59</v>
      </c>
      <c r="E20" s="16">
        <v>400</v>
      </c>
      <c r="F20" s="16">
        <v>214.58</v>
      </c>
      <c r="G20" s="16">
        <v>400</v>
      </c>
      <c r="H20" s="16">
        <v>70.3</v>
      </c>
      <c r="I20" s="16">
        <v>400</v>
      </c>
      <c r="J20" s="16">
        <v>269.92</v>
      </c>
      <c r="K20" s="16">
        <v>400</v>
      </c>
      <c r="L20" s="16">
        <v>1514.2</v>
      </c>
      <c r="M20" s="16">
        <v>625</v>
      </c>
      <c r="N20" s="157">
        <v>3437</v>
      </c>
      <c r="O20" s="44">
        <v>450</v>
      </c>
      <c r="P20" s="44">
        <v>2101.7800000000002</v>
      </c>
      <c r="Q20" s="44">
        <v>2050</v>
      </c>
      <c r="R20" s="44">
        <v>1826</v>
      </c>
      <c r="S20" s="44">
        <v>2000</v>
      </c>
      <c r="T20" s="44">
        <v>975</v>
      </c>
      <c r="U20" s="44"/>
    </row>
    <row r="21" spans="1:21">
      <c r="A21" s="48" t="s">
        <v>335</v>
      </c>
      <c r="B21" s="8" t="s">
        <v>336</v>
      </c>
      <c r="C21" s="44">
        <v>600</v>
      </c>
      <c r="D21" s="44">
        <v>713.34</v>
      </c>
      <c r="E21" s="44">
        <v>750</v>
      </c>
      <c r="F21" s="44">
        <v>53</v>
      </c>
      <c r="G21" s="44">
        <v>450</v>
      </c>
      <c r="H21" s="44">
        <v>1078.94</v>
      </c>
      <c r="I21" s="44">
        <v>600</v>
      </c>
      <c r="J21" s="44">
        <v>1152.95</v>
      </c>
      <c r="K21" s="44">
        <v>1100</v>
      </c>
      <c r="L21" s="44">
        <v>1386.11</v>
      </c>
      <c r="M21" s="44">
        <v>1100</v>
      </c>
      <c r="N21" s="157">
        <v>885.19</v>
      </c>
      <c r="O21" s="44">
        <v>1100</v>
      </c>
      <c r="P21" s="44"/>
      <c r="Q21" s="44">
        <v>1100</v>
      </c>
      <c r="R21" s="44">
        <v>1197.4000000000001</v>
      </c>
      <c r="S21" s="44">
        <v>1100</v>
      </c>
      <c r="T21" s="44">
        <v>900</v>
      </c>
      <c r="U21" s="44"/>
    </row>
    <row r="22" spans="1:21">
      <c r="B22" s="8" t="s">
        <v>13</v>
      </c>
      <c r="C22" s="16">
        <f>SUBTOTAL(109,FoodbankExpenses[Budget 10/11])</f>
        <v>2907.0299999999997</v>
      </c>
      <c r="D22" s="16">
        <f>SUBTOTAL(109,FoodbankExpenses[Actual 10/11])</f>
        <v>2466.7799999999997</v>
      </c>
      <c r="E22" s="16">
        <f>SUBTOTAL(109,FoodbankExpenses[Budget 11/12])</f>
        <v>3857.08</v>
      </c>
      <c r="F22" s="16">
        <f>SUBTOTAL(109,FoodbankExpenses[Actual 11/12])</f>
        <v>1935.1399999999999</v>
      </c>
      <c r="G22" s="16">
        <f>SUBTOTAL(109,FoodbankExpenses[Budget 12/13])</f>
        <v>2659.2</v>
      </c>
      <c r="H22" s="16">
        <f>SUBTOTAL(109,FoodbankExpenses[Actual 12/13])</f>
        <v>3165.44</v>
      </c>
      <c r="I22" s="16">
        <f>SUBTOTAL(109,FoodbankExpenses[Budget 13/14])</f>
        <v>2925</v>
      </c>
      <c r="J22" s="16">
        <f>SUBTOTAL(109,FoodbankExpenses[Actual 13/14])</f>
        <v>3136.8500000000004</v>
      </c>
      <c r="K22" s="16">
        <f>SUBTOTAL(109,FoodbankExpenses[Budget 14/15])</f>
        <v>3100</v>
      </c>
      <c r="L22" s="16">
        <f>SUBTOTAL(109,FoodbankExpenses[Actual 14/15])</f>
        <v>5059.6399999999994</v>
      </c>
      <c r="M22" s="16">
        <f>SUBTOTAL(109,FoodbankExpenses[Budget 15/16])</f>
        <v>3100</v>
      </c>
      <c r="N22" s="140">
        <f>SUBTOTAL(109,FoodbankExpenses[Actual 15/16])</f>
        <v>5843.02</v>
      </c>
      <c r="O22" s="16">
        <f>SUBTOTAL(109,FoodbankExpenses[Budget 16/17])</f>
        <v>3275</v>
      </c>
      <c r="P22" s="16">
        <f>SUBTOTAL(109,FoodbankExpenses[Actual 16/17])</f>
        <v>4108.7</v>
      </c>
      <c r="Q22" s="16">
        <f>SUBTOTAL(109,FoodbankExpenses[Budget 17/18])</f>
        <v>4990</v>
      </c>
      <c r="R22" s="20">
        <f>SUM(FoodbankExpenses[Actual 17/18])</f>
        <v>4150.83</v>
      </c>
      <c r="S22" s="20">
        <f>SUM(FoodbankExpenses[Budget 18/19])</f>
        <v>4490</v>
      </c>
      <c r="T22" s="15">
        <f>SUBTOTAL(109,FoodbankExpenses[Budget 19/20])</f>
        <v>3320</v>
      </c>
      <c r="U22" s="15"/>
    </row>
    <row r="23" spans="1:21" ht="13.5" thickBot="1"/>
    <row r="24" spans="1:21" ht="19.5" thickBot="1">
      <c r="B24" s="452" t="s">
        <v>102</v>
      </c>
      <c r="C24" s="27">
        <f>FoodbankRevenues[[#Totals],[Budget 10/11]]-FoodbankExpenses[[#Totals],[Budget 10/11]]</f>
        <v>-2907.0299999999997</v>
      </c>
      <c r="D24" s="27">
        <f>FoodbankRevenues[[#Totals],[Actual 10/11]]-FoodbankExpenses[[#Totals],[Actual 10/11]]</f>
        <v>-2466.7799999999997</v>
      </c>
      <c r="E24" s="27">
        <f>FoodbankRevenues[[#Totals],[Budget 11/12]]-FoodbankExpenses[[#Totals],[Budget 11/12]]</f>
        <v>-3857.08</v>
      </c>
      <c r="F24" s="27">
        <f>FoodbankRevenues[[#Totals],[Actual 11/12]]-FoodbankExpenses[[#Totals],[Actual 11/12]]</f>
        <v>-388.54999999999995</v>
      </c>
      <c r="G24" s="27">
        <f>FoodbankRevenues[[#Totals],[Budget 12/13]]-FoodbankExpenses[[#Totals],[Budget 12/13]]</f>
        <v>-2659.2</v>
      </c>
      <c r="H24" s="27">
        <f>FoodbankRevenues[[#Totals],[Actual 12/13]]-FoodbankExpenses[[#Totals],[Actual 12/13]]</f>
        <v>-2357.9700000000003</v>
      </c>
      <c r="I24" s="27">
        <f>FoodbankRevenues[[#Totals],[Budget 13/14]]-FoodbankExpenses[[#Totals],[Budget 13/14]]</f>
        <v>-2925</v>
      </c>
      <c r="J24" s="27">
        <f>FoodbankRevenues[[#Totals],[Actual 13/14]]-FoodbankExpenses[[#Totals],[Actual 13/14]]</f>
        <v>-2532.5500000000002</v>
      </c>
      <c r="K24" s="27">
        <f>FoodbankRevenues[[#Totals],[Budget 14/15]]-FoodbankExpenses[[#Totals],[Budget 14/15]]</f>
        <v>-3100</v>
      </c>
      <c r="L24" s="27">
        <f>FoodbankRevenues[[#Totals],[Actual 14/15]]-FoodbankExpenses[[#Totals],[Actual 14/15]]</f>
        <v>-793.1299999999992</v>
      </c>
      <c r="M24" s="27">
        <f>FoodbankRevenues[[#Totals],[Budget 15/16]]-FoodbankExpenses[[#Totals],[Budget 15/16]]</f>
        <v>-3100</v>
      </c>
      <c r="N24" s="27">
        <f>FoodbankRevenues[[#Totals],[Actual 15/16]]-FoodbankExpenses[[#Totals],[Actual 15/16]]</f>
        <v>-2694.9700000000007</v>
      </c>
      <c r="O24" s="27">
        <f>FoodbankRevenues[[#Totals],[Budget 16/17]]-FoodbankExpenses[[#Totals],[Budget 16/17]]</f>
        <v>-3275</v>
      </c>
      <c r="P24" s="27">
        <f>FoodbankRevenues[[#Totals],[Actual 16/17]]-FoodbankExpenses[[#Totals],[Actual 16/17]]</f>
        <v>-3495.5499999999997</v>
      </c>
      <c r="Q24" s="27">
        <f>FoodbankRevenues[[#Totals],[Budget 17/18]]-FoodbankExpenses[[#Totals],[Budget 17/18]]</f>
        <v>-4490</v>
      </c>
      <c r="R24" s="27">
        <f>FoodbankRevenues[[#Totals],[Actual 17/18]]-FoodbankExpenses[[#Totals],[Actual 17/18]]</f>
        <v>-3301.38</v>
      </c>
      <c r="S24" s="27">
        <f>FoodbankRevenues[[#Totals],[Budget 18/19]]-FoodbankExpenses[[#Totals],[Budget 18/19]]</f>
        <v>-3990</v>
      </c>
      <c r="T24" s="27">
        <f>FoodbankRevenues[[#Totals],[Budget 19/20]]-FoodbankExpenses[[#Totals],[Budget 19/20]]</f>
        <v>-2820</v>
      </c>
      <c r="U24" s="27"/>
    </row>
    <row r="27" spans="1:21">
      <c r="T27" s="20"/>
    </row>
    <row r="28" spans="1:21">
      <c r="T28" s="20"/>
    </row>
    <row r="30" spans="1:21">
      <c r="K30"/>
      <c r="L30"/>
      <c r="M30"/>
      <c r="N30" s="148"/>
      <c r="O30"/>
      <c r="P30"/>
      <c r="Q30"/>
      <c r="R30"/>
      <c r="S30"/>
      <c r="T30" s="436"/>
    </row>
    <row r="31" spans="1:21">
      <c r="K31"/>
      <c r="L31"/>
      <c r="M31"/>
      <c r="N31" s="148"/>
      <c r="O31"/>
      <c r="P31"/>
      <c r="Q31"/>
      <c r="R31"/>
      <c r="S31"/>
    </row>
    <row r="32" spans="1:21">
      <c r="K32"/>
      <c r="L32"/>
      <c r="M32"/>
      <c r="N32" s="148"/>
      <c r="O32"/>
      <c r="P32"/>
      <c r="Q32"/>
      <c r="R32"/>
      <c r="S32"/>
    </row>
    <row r="33" spans="11:19">
      <c r="K33"/>
      <c r="L33"/>
      <c r="M33"/>
      <c r="N33" s="148"/>
      <c r="O33"/>
      <c r="P33"/>
      <c r="Q33"/>
      <c r="R33"/>
      <c r="S33"/>
    </row>
    <row r="34" spans="11:19">
      <c r="K34"/>
      <c r="L34"/>
      <c r="M34"/>
      <c r="N34" s="148"/>
      <c r="O34"/>
      <c r="P34"/>
      <c r="Q34"/>
      <c r="R34"/>
      <c r="S34"/>
    </row>
    <row r="35" spans="11:19">
      <c r="K35"/>
      <c r="L35"/>
      <c r="M35"/>
      <c r="N35" s="148"/>
      <c r="O35"/>
      <c r="P35"/>
      <c r="Q35"/>
      <c r="R35"/>
      <c r="S35"/>
    </row>
    <row r="36" spans="11:19">
      <c r="K36"/>
      <c r="L36"/>
      <c r="M36"/>
      <c r="N36" s="148"/>
      <c r="O36"/>
      <c r="P36"/>
      <c r="Q36"/>
      <c r="R36"/>
      <c r="S36"/>
    </row>
    <row r="37" spans="11:19">
      <c r="K37"/>
      <c r="L37"/>
      <c r="M37"/>
      <c r="N37" s="148"/>
      <c r="O37"/>
      <c r="P37"/>
      <c r="Q37"/>
      <c r="R37"/>
      <c r="S37"/>
    </row>
    <row r="38" spans="11:19">
      <c r="K38"/>
      <c r="L38"/>
      <c r="M38"/>
      <c r="N38" s="148"/>
      <c r="O38"/>
      <c r="P38"/>
      <c r="Q38"/>
      <c r="R38"/>
      <c r="S38"/>
    </row>
    <row r="39" spans="11:19">
      <c r="K39"/>
      <c r="L39"/>
      <c r="M39"/>
      <c r="N39" s="148"/>
      <c r="O39"/>
      <c r="P39"/>
      <c r="Q39"/>
      <c r="R39"/>
      <c r="S39"/>
    </row>
    <row r="40" spans="11:19">
      <c r="K40"/>
      <c r="L40"/>
      <c r="M40"/>
      <c r="N40" s="148"/>
      <c r="O40"/>
      <c r="P40"/>
      <c r="Q40"/>
      <c r="R40"/>
      <c r="S40"/>
    </row>
  </sheetData>
  <customSheetViews>
    <customSheetView guid="{DC934874-AE9C-4DF4-8DA8-4394DABABB42}" showRuler="0">
      <selection activeCell="G14" sqref="G14"/>
      <pageMargins left="0" right="0" top="0" bottom="0" header="0" footer="0"/>
      <pageSetup orientation="portrait"/>
      <headerFooter alignWithMargins="0"/>
    </customSheetView>
    <customSheetView guid="{7FD89B2E-4983-4B8D-ABA2-A07F685A0C6E}" showRuler="0">
      <selection activeCell="G19" sqref="G19"/>
      <pageMargins left="0" right="0" top="0" bottom="0" header="0" footer="0"/>
      <pageSetup orientation="portrait"/>
      <headerFooter alignWithMargins="0"/>
    </customSheetView>
    <customSheetView guid="{84D8AC11-A493-4338-8044-6F4154C29695}" showRuler="0">
      <selection activeCell="G15" sqref="G15"/>
      <pageMargins left="0" right="0" top="0" bottom="0" header="0" footer="0"/>
      <pageSetup orientation="portrait"/>
      <headerFooter alignWithMargins="0"/>
    </customSheetView>
    <customSheetView guid="{BB157E55-0A2E-4D9F-A3BF-E83E5442FC27}" showPageBreaks="1" showRuler="0">
      <selection activeCell="G14" sqref="G14"/>
      <pageMargins left="0" right="0" top="0" bottom="0" header="0" footer="0"/>
      <pageSetup orientation="portrait"/>
      <headerFooter alignWithMargins="0"/>
    </customSheetView>
  </customSheetViews>
  <mergeCells count="1">
    <mergeCell ref="A1:B1"/>
  </mergeCells>
  <phoneticPr fontId="0" type="noConversion"/>
  <pageMargins left="0" right="0" top="0.98425196850393704" bottom="0.98425196850393704" header="0.51181102362204722" footer="0.51181102362204722"/>
  <pageSetup orientation="landscape" blackAndWhite="1" r:id="rId1"/>
  <headerFooter alignWithMargins="0"/>
  <legacyDrawing r:id="rId2"/>
  <tableParts count="2">
    <tablePart r:id="rId3"/>
    <tablePart r:id="rId4"/>
  </tablePar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1"/>
    <pageSetUpPr fitToPage="1"/>
  </sheetPr>
  <dimension ref="A1:U44"/>
  <sheetViews>
    <sheetView showGridLines="0" zoomScaleNormal="100" workbookViewId="0">
      <selection activeCell="T11" sqref="T11"/>
    </sheetView>
  </sheetViews>
  <sheetFormatPr defaultColWidth="11.42578125" defaultRowHeight="12.75"/>
  <cols>
    <col min="1" max="1" width="13.85546875" style="8" customWidth="1"/>
    <col min="2" max="2" width="20" style="8" customWidth="1"/>
    <col min="3" max="13" width="16.85546875" style="8" hidden="1" customWidth="1"/>
    <col min="14" max="14" width="16" style="138" hidden="1" customWidth="1"/>
    <col min="15" max="15" width="16" style="8" hidden="1" customWidth="1"/>
    <col min="16" max="16" width="16.7109375" style="8" hidden="1" customWidth="1"/>
    <col min="17" max="17" width="16.7109375" style="8" customWidth="1"/>
    <col min="18" max="18" width="18.140625" style="8" customWidth="1"/>
    <col min="19" max="19" width="16.5703125" style="8" customWidth="1"/>
    <col min="20" max="20" width="18.140625" style="8" customWidth="1"/>
    <col min="21" max="21" width="16.7109375" style="8" customWidth="1"/>
    <col min="22" max="16384" width="11.42578125" style="8"/>
  </cols>
  <sheetData>
    <row r="1" spans="1:21" ht="18">
      <c r="A1" s="534" t="s">
        <v>337</v>
      </c>
      <c r="B1" s="536"/>
    </row>
    <row r="2" spans="1:21">
      <c r="A2" s="28" t="s">
        <v>186</v>
      </c>
    </row>
    <row r="3" spans="1:21">
      <c r="A3" s="545"/>
      <c r="B3" s="545"/>
    </row>
    <row r="5" spans="1:21">
      <c r="A5" s="48" t="s">
        <v>107</v>
      </c>
      <c r="B5" s="8" t="s">
        <v>47</v>
      </c>
      <c r="C5" s="8" t="s">
        <v>48</v>
      </c>
      <c r="D5" s="8" t="s">
        <v>49</v>
      </c>
      <c r="E5" s="8" t="s">
        <v>50</v>
      </c>
      <c r="F5" s="8" t="s">
        <v>51</v>
      </c>
      <c r="G5" s="8" t="s">
        <v>52</v>
      </c>
      <c r="H5" s="8" t="s">
        <v>53</v>
      </c>
      <c r="I5" s="8" t="s">
        <v>54</v>
      </c>
      <c r="J5" s="8" t="s">
        <v>55</v>
      </c>
      <c r="K5" s="8" t="s">
        <v>56</v>
      </c>
      <c r="L5" s="8" t="s">
        <v>104</v>
      </c>
      <c r="M5" s="8" t="s">
        <v>29</v>
      </c>
      <c r="N5" s="124" t="s">
        <v>30</v>
      </c>
      <c r="O5" s="8" t="s">
        <v>31</v>
      </c>
      <c r="P5" s="8" t="s">
        <v>32</v>
      </c>
      <c r="Q5" s="8" t="s">
        <v>33</v>
      </c>
      <c r="R5" s="8" t="s">
        <v>34</v>
      </c>
      <c r="S5" s="8" t="s">
        <v>6</v>
      </c>
      <c r="T5" s="8" t="s">
        <v>8</v>
      </c>
      <c r="U5" s="8" t="s">
        <v>35</v>
      </c>
    </row>
    <row r="6" spans="1:21">
      <c r="A6" s="48" t="s">
        <v>338</v>
      </c>
      <c r="B6" s="8" t="s">
        <v>295</v>
      </c>
      <c r="C6" s="16">
        <v>0</v>
      </c>
      <c r="D6" s="16">
        <v>0</v>
      </c>
      <c r="E6" s="16">
        <v>0</v>
      </c>
      <c r="F6" s="16">
        <v>1087</v>
      </c>
      <c r="G6" s="16">
        <v>0</v>
      </c>
      <c r="H6" s="16">
        <v>1578.12</v>
      </c>
      <c r="I6" s="16">
        <v>0</v>
      </c>
      <c r="J6" s="16">
        <v>2361.25</v>
      </c>
      <c r="K6" s="16">
        <v>0</v>
      </c>
      <c r="L6" s="16">
        <v>718.4</v>
      </c>
      <c r="M6" s="16">
        <v>0</v>
      </c>
      <c r="N6" s="140">
        <v>0</v>
      </c>
      <c r="O6" s="16">
        <v>0</v>
      </c>
      <c r="P6" s="16"/>
      <c r="Q6" s="16"/>
      <c r="R6" s="16"/>
      <c r="S6" s="16">
        <v>400</v>
      </c>
      <c r="T6" s="16">
        <v>400</v>
      </c>
      <c r="U6" s="16"/>
    </row>
    <row r="7" spans="1:21">
      <c r="A7" s="48" t="s">
        <v>339</v>
      </c>
      <c r="B7" s="8" t="s">
        <v>297</v>
      </c>
      <c r="C7" s="44">
        <v>1100</v>
      </c>
      <c r="D7" s="44">
        <v>0</v>
      </c>
      <c r="E7" s="44">
        <v>1400</v>
      </c>
      <c r="F7" s="44">
        <v>1788.38</v>
      </c>
      <c r="G7" s="44">
        <v>0</v>
      </c>
      <c r="H7" s="44">
        <v>181.04</v>
      </c>
      <c r="I7" s="44">
        <v>0</v>
      </c>
      <c r="J7" s="44">
        <v>238.62</v>
      </c>
      <c r="K7" s="44">
        <v>0</v>
      </c>
      <c r="L7" s="44">
        <v>851.7</v>
      </c>
      <c r="M7" s="44">
        <v>0</v>
      </c>
      <c r="N7" s="149">
        <v>1306</v>
      </c>
      <c r="O7" s="44">
        <v>0</v>
      </c>
      <c r="P7" s="16">
        <v>445.33</v>
      </c>
      <c r="Q7" s="16">
        <v>400</v>
      </c>
      <c r="R7" s="16"/>
      <c r="S7" s="16"/>
      <c r="T7" s="16"/>
      <c r="U7" s="16"/>
    </row>
    <row r="8" spans="1:21">
      <c r="A8" s="48"/>
      <c r="B8" s="222" t="s">
        <v>13</v>
      </c>
      <c r="C8" s="313">
        <f>SUBTOTAL(109,GlowRevenues[Budget 10/11])</f>
        <v>1100</v>
      </c>
      <c r="D8" s="313">
        <f>SUBTOTAL(109,GlowRevenues[Actual 10/11])</f>
        <v>0</v>
      </c>
      <c r="E8" s="313">
        <f>SUBTOTAL(109,GlowRevenues[Budget 11/12])</f>
        <v>1400</v>
      </c>
      <c r="F8" s="313">
        <f>SUBTOTAL(109,GlowRevenues[Actual 11/12])</f>
        <v>2875.38</v>
      </c>
      <c r="G8" s="313">
        <f>SUBTOTAL(109,GlowRevenues[Budget 12/13])</f>
        <v>0</v>
      </c>
      <c r="H8" s="313">
        <f>SUBTOTAL(109,GlowRevenues[Actual 12/13])</f>
        <v>1759.1599999999999</v>
      </c>
      <c r="I8" s="313">
        <f>SUBTOTAL(109,GlowRevenues[Budget 13/14])</f>
        <v>0</v>
      </c>
      <c r="J8" s="313">
        <f>SUBTOTAL(109,GlowRevenues[Actual 13/14])</f>
        <v>2599.87</v>
      </c>
      <c r="K8" s="313">
        <f>SUBTOTAL(109,GlowRevenues[Budget 14/15])</f>
        <v>0</v>
      </c>
      <c r="L8" s="313">
        <f>SUBTOTAL(109,GlowRevenues[Actual 14/15])</f>
        <v>1570.1</v>
      </c>
      <c r="M8" s="313">
        <f>SUBTOTAL(109,GlowRevenues[Budget 15/16])</f>
        <v>0</v>
      </c>
      <c r="N8" s="314">
        <f>SUBTOTAL(109,GlowRevenues[Actual 15/16])</f>
        <v>1306</v>
      </c>
      <c r="O8" s="313">
        <f>SUBTOTAL(109,GlowRevenues[Budget 16/17])</f>
        <v>0</v>
      </c>
      <c r="P8" s="313">
        <f>SUBTOTAL(109,GlowRevenues[Actual 16/17])</f>
        <v>445.33</v>
      </c>
      <c r="Q8" s="313">
        <f>SUBTOTAL(109,GlowRevenues[Budget 17/18])</f>
        <v>400</v>
      </c>
      <c r="R8" s="222">
        <f>SUBTOTAL(109,GlowRevenues[Revenues])</f>
        <v>0</v>
      </c>
      <c r="S8" s="315">
        <f>SUBTOTAL(109,GlowRevenues[Budget 18/19])</f>
        <v>400</v>
      </c>
      <c r="T8" s="315">
        <f>SUBTOTAL(109,GlowRevenues[Budget 19/20])</f>
        <v>400</v>
      </c>
      <c r="U8" s="222"/>
    </row>
    <row r="9" spans="1:21">
      <c r="A9" s="211"/>
    </row>
    <row r="10" spans="1:21">
      <c r="A10" s="48" t="s">
        <v>107</v>
      </c>
      <c r="B10" s="8" t="s">
        <v>61</v>
      </c>
      <c r="C10" s="8" t="s">
        <v>48</v>
      </c>
      <c r="D10" s="8" t="s">
        <v>49</v>
      </c>
      <c r="E10" s="8" t="s">
        <v>50</v>
      </c>
      <c r="F10" s="8" t="s">
        <v>51</v>
      </c>
      <c r="G10" s="8" t="s">
        <v>52</v>
      </c>
      <c r="H10" s="8" t="s">
        <v>53</v>
      </c>
      <c r="I10" s="8" t="s">
        <v>54</v>
      </c>
      <c r="J10" s="8" t="s">
        <v>55</v>
      </c>
      <c r="K10" s="8" t="s">
        <v>56</v>
      </c>
      <c r="L10" s="8" t="s">
        <v>104</v>
      </c>
      <c r="M10" s="8" t="s">
        <v>29</v>
      </c>
      <c r="N10" s="124" t="s">
        <v>30</v>
      </c>
      <c r="O10" s="8" t="s">
        <v>31</v>
      </c>
      <c r="P10" s="8" t="s">
        <v>32</v>
      </c>
      <c r="Q10" s="8" t="s">
        <v>33</v>
      </c>
      <c r="R10" s="8" t="s">
        <v>34</v>
      </c>
      <c r="S10" s="8" t="s">
        <v>6</v>
      </c>
      <c r="T10" s="8" t="s">
        <v>8</v>
      </c>
      <c r="U10" s="8" t="s">
        <v>35</v>
      </c>
    </row>
    <row r="11" spans="1:21">
      <c r="A11" s="48" t="s">
        <v>340</v>
      </c>
      <c r="B11" s="8" t="s">
        <v>341</v>
      </c>
      <c r="C11" s="16">
        <v>700</v>
      </c>
      <c r="D11" s="16">
        <v>698.23</v>
      </c>
      <c r="E11" s="16">
        <v>2000</v>
      </c>
      <c r="F11" s="16">
        <v>2047.88</v>
      </c>
      <c r="G11" s="16">
        <v>1300</v>
      </c>
      <c r="H11" s="16">
        <v>409.2</v>
      </c>
      <c r="I11" s="16">
        <v>1560</v>
      </c>
      <c r="J11" s="16">
        <v>1257.47</v>
      </c>
      <c r="K11" s="16">
        <v>1560</v>
      </c>
      <c r="L11" s="16">
        <v>1128.3699999999999</v>
      </c>
      <c r="M11" s="16">
        <v>1500</v>
      </c>
      <c r="N11" s="149">
        <v>1738.17</v>
      </c>
      <c r="O11" s="16">
        <v>2580</v>
      </c>
      <c r="P11" s="16">
        <v>2339.0300000000002</v>
      </c>
      <c r="Q11" s="16">
        <v>2700</v>
      </c>
      <c r="R11" s="16">
        <v>1024.1500000000001</v>
      </c>
      <c r="S11" s="16">
        <v>2680</v>
      </c>
      <c r="T11" s="16">
        <v>2680</v>
      </c>
      <c r="U11" s="16"/>
    </row>
    <row r="12" spans="1:21">
      <c r="A12" s="48" t="s">
        <v>342</v>
      </c>
      <c r="B12" s="8" t="s">
        <v>70</v>
      </c>
      <c r="C12" s="16">
        <v>500</v>
      </c>
      <c r="D12" s="16">
        <v>544.20000000000005</v>
      </c>
      <c r="E12" s="16">
        <v>550</v>
      </c>
      <c r="F12" s="16">
        <v>493.35</v>
      </c>
      <c r="G12" s="16">
        <v>350</v>
      </c>
      <c r="H12" s="16">
        <v>75.8</v>
      </c>
      <c r="I12" s="16">
        <v>350</v>
      </c>
      <c r="J12" s="16">
        <v>289.89999999999998</v>
      </c>
      <c r="K12" s="16">
        <v>350</v>
      </c>
      <c r="L12" s="16">
        <v>227.4</v>
      </c>
      <c r="M12" s="16">
        <v>350</v>
      </c>
      <c r="N12" s="149">
        <v>208.45</v>
      </c>
      <c r="O12" s="16">
        <v>350</v>
      </c>
      <c r="P12" s="16">
        <v>208.45</v>
      </c>
      <c r="Q12" s="16">
        <v>350</v>
      </c>
      <c r="R12" s="16">
        <v>227.4</v>
      </c>
      <c r="S12" s="16">
        <v>350</v>
      </c>
      <c r="T12" s="16">
        <v>350</v>
      </c>
      <c r="U12" s="16"/>
    </row>
    <row r="13" spans="1:21">
      <c r="A13" s="48" t="s">
        <v>343</v>
      </c>
      <c r="B13" s="8" t="s">
        <v>77</v>
      </c>
      <c r="C13" s="16">
        <v>100</v>
      </c>
      <c r="D13" s="16">
        <v>29.23</v>
      </c>
      <c r="E13" s="16">
        <v>50</v>
      </c>
      <c r="F13" s="16">
        <v>62.71</v>
      </c>
      <c r="G13" s="16">
        <v>50</v>
      </c>
      <c r="H13" s="16">
        <v>4.75</v>
      </c>
      <c r="I13" s="16">
        <v>25</v>
      </c>
      <c r="J13" s="16">
        <v>101</v>
      </c>
      <c r="K13" s="16">
        <v>75</v>
      </c>
      <c r="L13" s="16">
        <v>127.56</v>
      </c>
      <c r="M13" s="16">
        <v>75</v>
      </c>
      <c r="N13" s="149">
        <v>59.52</v>
      </c>
      <c r="O13" s="16">
        <v>75</v>
      </c>
      <c r="P13" s="16"/>
      <c r="Q13" s="16">
        <v>15</v>
      </c>
      <c r="R13" s="16">
        <v>39.18</v>
      </c>
      <c r="S13" s="16">
        <v>15</v>
      </c>
      <c r="T13" s="16">
        <v>15</v>
      </c>
      <c r="U13" s="16"/>
    </row>
    <row r="14" spans="1:21">
      <c r="A14" s="48" t="s">
        <v>344</v>
      </c>
      <c r="B14" s="8" t="s">
        <v>226</v>
      </c>
      <c r="C14" s="16">
        <v>300</v>
      </c>
      <c r="D14" s="16">
        <v>176.27</v>
      </c>
      <c r="E14" s="16">
        <v>800</v>
      </c>
      <c r="F14" s="16">
        <v>826.5</v>
      </c>
      <c r="G14" s="16">
        <v>600</v>
      </c>
      <c r="H14" s="16">
        <v>219.55</v>
      </c>
      <c r="I14" s="16">
        <v>600</v>
      </c>
      <c r="J14" s="16">
        <v>327.26</v>
      </c>
      <c r="K14" s="16">
        <v>500</v>
      </c>
      <c r="L14" s="16">
        <v>429.44</v>
      </c>
      <c r="M14" s="16">
        <v>500</v>
      </c>
      <c r="N14" s="149">
        <v>321.20999999999998</v>
      </c>
      <c r="O14" s="16">
        <v>400</v>
      </c>
      <c r="P14" s="16">
        <v>470.73</v>
      </c>
      <c r="Q14" s="16">
        <v>300</v>
      </c>
      <c r="R14" s="16">
        <v>371.03</v>
      </c>
      <c r="S14" s="16">
        <v>300</v>
      </c>
      <c r="T14" s="16">
        <v>100</v>
      </c>
      <c r="U14" s="16"/>
    </row>
    <row r="15" spans="1:21">
      <c r="A15" s="48" t="s">
        <v>345</v>
      </c>
      <c r="B15" s="8" t="s">
        <v>81</v>
      </c>
      <c r="C15" s="16">
        <v>365</v>
      </c>
      <c r="D15" s="16">
        <v>439.12</v>
      </c>
      <c r="E15" s="16">
        <v>800</v>
      </c>
      <c r="F15" s="16">
        <v>656.13</v>
      </c>
      <c r="G15" s="16">
        <v>600</v>
      </c>
      <c r="H15" s="16">
        <v>574.15</v>
      </c>
      <c r="I15" s="16">
        <v>300</v>
      </c>
      <c r="J15" s="16">
        <v>396.98</v>
      </c>
      <c r="K15" s="16">
        <v>100</v>
      </c>
      <c r="L15" s="16">
        <v>59.66</v>
      </c>
      <c r="M15" s="16">
        <v>100</v>
      </c>
      <c r="N15" s="149">
        <v>32.49</v>
      </c>
      <c r="O15" s="16">
        <v>100</v>
      </c>
      <c r="P15" s="16">
        <v>202.58</v>
      </c>
      <c r="Q15" s="16">
        <v>100</v>
      </c>
      <c r="R15" s="16">
        <v>-59.91</v>
      </c>
      <c r="S15" s="16">
        <v>100</v>
      </c>
      <c r="T15" s="16">
        <v>75</v>
      </c>
      <c r="U15" s="16"/>
    </row>
    <row r="16" spans="1:21">
      <c r="A16" s="48" t="s">
        <v>346</v>
      </c>
      <c r="B16" s="8" t="s">
        <v>306</v>
      </c>
      <c r="C16" s="16">
        <v>1410</v>
      </c>
      <c r="D16" s="16">
        <v>1650</v>
      </c>
      <c r="E16" s="16">
        <v>1500</v>
      </c>
      <c r="F16" s="16">
        <v>1382.6</v>
      </c>
      <c r="G16" s="16">
        <v>1500</v>
      </c>
      <c r="H16" s="16">
        <v>0</v>
      </c>
      <c r="I16" s="16">
        <v>1500</v>
      </c>
      <c r="J16" s="16">
        <v>913.61</v>
      </c>
      <c r="K16" s="16">
        <v>1500</v>
      </c>
      <c r="L16" s="16">
        <v>1126.9100000000001</v>
      </c>
      <c r="M16" s="16">
        <v>750</v>
      </c>
      <c r="N16" s="149">
        <v>230.57</v>
      </c>
      <c r="O16" s="16">
        <v>250</v>
      </c>
      <c r="P16" s="16">
        <v>148.97999999999999</v>
      </c>
      <c r="Q16" s="16">
        <v>250</v>
      </c>
      <c r="R16" s="16">
        <v>354.96</v>
      </c>
      <c r="S16" s="16">
        <v>250</v>
      </c>
      <c r="T16" s="16">
        <v>200</v>
      </c>
      <c r="U16" s="16"/>
    </row>
    <row r="17" spans="1:21">
      <c r="A17" s="48" t="s">
        <v>347</v>
      </c>
      <c r="B17" s="8" t="s">
        <v>308</v>
      </c>
      <c r="C17" s="16">
        <v>170</v>
      </c>
      <c r="D17" s="16">
        <v>97.5</v>
      </c>
      <c r="E17" s="16">
        <v>100</v>
      </c>
      <c r="F17" s="16">
        <v>38.520000000000003</v>
      </c>
      <c r="G17" s="16">
        <v>235</v>
      </c>
      <c r="H17" s="16">
        <v>41.88</v>
      </c>
      <c r="I17" s="16">
        <v>235</v>
      </c>
      <c r="J17" s="16">
        <v>144.35</v>
      </c>
      <c r="K17" s="16">
        <v>100</v>
      </c>
      <c r="L17" s="16">
        <v>0</v>
      </c>
      <c r="M17" s="16">
        <v>100</v>
      </c>
      <c r="N17" s="149">
        <v>124.51</v>
      </c>
      <c r="O17" s="16">
        <v>100</v>
      </c>
      <c r="P17" s="16">
        <v>82.86</v>
      </c>
      <c r="Q17" s="16">
        <v>150</v>
      </c>
      <c r="R17" s="16">
        <v>79.7</v>
      </c>
      <c r="S17" s="16">
        <v>150</v>
      </c>
      <c r="T17" s="16">
        <v>150</v>
      </c>
      <c r="U17" s="16"/>
    </row>
    <row r="18" spans="1:21">
      <c r="A18" s="48" t="s">
        <v>348</v>
      </c>
      <c r="B18" s="8" t="s">
        <v>349</v>
      </c>
      <c r="C18" s="16">
        <v>0</v>
      </c>
      <c r="D18" s="16">
        <v>0</v>
      </c>
      <c r="E18" s="16">
        <v>0</v>
      </c>
      <c r="F18" s="16">
        <v>10.6</v>
      </c>
      <c r="G18" s="16">
        <v>0</v>
      </c>
      <c r="H18" s="16">
        <v>250</v>
      </c>
      <c r="I18" s="16">
        <v>0</v>
      </c>
      <c r="J18" s="16">
        <v>0</v>
      </c>
      <c r="K18" s="16">
        <v>0</v>
      </c>
      <c r="L18" s="16">
        <v>0</v>
      </c>
      <c r="M18" s="16">
        <v>0</v>
      </c>
      <c r="N18" s="140">
        <v>0</v>
      </c>
      <c r="O18" s="16">
        <v>0</v>
      </c>
      <c r="P18" s="16">
        <v>101.73</v>
      </c>
      <c r="Q18" s="16"/>
      <c r="R18" s="16">
        <v>13.72</v>
      </c>
      <c r="S18" s="16"/>
      <c r="T18" s="16"/>
      <c r="U18" s="16"/>
    </row>
    <row r="19" spans="1:21">
      <c r="A19" s="48" t="s">
        <v>350</v>
      </c>
      <c r="B19" s="8" t="s">
        <v>89</v>
      </c>
      <c r="C19" s="16">
        <v>2500</v>
      </c>
      <c r="D19" s="16">
        <v>2114.91</v>
      </c>
      <c r="E19" s="16">
        <v>1500</v>
      </c>
      <c r="F19" s="16">
        <v>332.59</v>
      </c>
      <c r="G19" s="16">
        <v>500</v>
      </c>
      <c r="H19" s="16">
        <v>81.83</v>
      </c>
      <c r="I19" s="16">
        <v>350</v>
      </c>
      <c r="J19" s="16">
        <v>240.3</v>
      </c>
      <c r="K19" s="16">
        <v>350</v>
      </c>
      <c r="L19" s="16">
        <v>538.19000000000005</v>
      </c>
      <c r="M19" s="16">
        <v>100</v>
      </c>
      <c r="N19" s="149">
        <v>104</v>
      </c>
      <c r="O19" s="16">
        <v>0</v>
      </c>
      <c r="P19" s="16"/>
      <c r="Q19" s="16"/>
      <c r="R19" s="16"/>
      <c r="S19" s="16"/>
      <c r="T19" s="16">
        <v>700</v>
      </c>
      <c r="U19" s="16"/>
    </row>
    <row r="20" spans="1:21" hidden="1">
      <c r="A20" s="48" t="s">
        <v>351</v>
      </c>
      <c r="B20" s="8" t="s">
        <v>352</v>
      </c>
      <c r="C20" s="16">
        <v>0</v>
      </c>
      <c r="D20" s="16">
        <v>0</v>
      </c>
      <c r="E20" s="16">
        <v>0</v>
      </c>
      <c r="F20" s="16">
        <v>0</v>
      </c>
      <c r="G20" s="16">
        <v>0</v>
      </c>
      <c r="H20" s="16">
        <v>0</v>
      </c>
      <c r="I20" s="16">
        <v>0</v>
      </c>
      <c r="J20" s="16">
        <v>0</v>
      </c>
      <c r="K20" s="16">
        <v>0</v>
      </c>
      <c r="L20" s="16">
        <v>0</v>
      </c>
      <c r="M20" s="16">
        <v>0</v>
      </c>
      <c r="N20" s="140">
        <v>0</v>
      </c>
      <c r="O20" s="16">
        <v>0</v>
      </c>
      <c r="P20" s="16"/>
      <c r="Q20" s="16"/>
      <c r="R20" s="16"/>
      <c r="S20" s="16"/>
      <c r="T20" s="16"/>
      <c r="U20" s="16"/>
    </row>
    <row r="21" spans="1:21" hidden="1">
      <c r="A21" s="48" t="s">
        <v>353</v>
      </c>
      <c r="B21" s="8" t="s">
        <v>354</v>
      </c>
      <c r="C21" s="16">
        <v>600</v>
      </c>
      <c r="D21" s="16">
        <v>356.13</v>
      </c>
      <c r="E21" s="16">
        <v>0</v>
      </c>
      <c r="F21" s="16">
        <v>0</v>
      </c>
      <c r="G21" s="16">
        <v>0</v>
      </c>
      <c r="H21" s="16">
        <v>0</v>
      </c>
      <c r="I21" s="16">
        <v>0</v>
      </c>
      <c r="J21" s="16">
        <v>0</v>
      </c>
      <c r="K21" s="16">
        <v>0</v>
      </c>
      <c r="L21" s="16">
        <v>0</v>
      </c>
      <c r="M21" s="16">
        <v>0</v>
      </c>
      <c r="N21" s="140">
        <v>0</v>
      </c>
      <c r="O21" s="16">
        <v>0</v>
      </c>
      <c r="P21" s="16"/>
      <c r="Q21" s="16"/>
      <c r="R21" s="16"/>
      <c r="S21" s="16"/>
      <c r="T21" s="16"/>
      <c r="U21" s="16"/>
    </row>
    <row r="22" spans="1:21">
      <c r="A22" s="48" t="s">
        <v>350</v>
      </c>
      <c r="B22" s="8" t="s">
        <v>355</v>
      </c>
      <c r="C22" s="16">
        <v>706.51</v>
      </c>
      <c r="D22" s="16">
        <v>625.80999999999995</v>
      </c>
      <c r="E22" s="16">
        <v>740.01</v>
      </c>
      <c r="F22" s="16">
        <v>24.92</v>
      </c>
      <c r="G22" s="16">
        <v>800</v>
      </c>
      <c r="H22" s="16">
        <v>811.24</v>
      </c>
      <c r="I22" s="16">
        <v>850</v>
      </c>
      <c r="J22" s="16">
        <v>1462.85</v>
      </c>
      <c r="K22" s="16">
        <v>600</v>
      </c>
      <c r="L22" s="16">
        <v>1331.29</v>
      </c>
      <c r="M22" s="16">
        <v>3000</v>
      </c>
      <c r="N22" s="149">
        <v>4358.84</v>
      </c>
      <c r="O22" s="16">
        <v>3000</v>
      </c>
      <c r="P22" s="16">
        <v>3404.22</v>
      </c>
      <c r="Q22" s="16">
        <v>3600</v>
      </c>
      <c r="R22" s="16">
        <v>3751.65</v>
      </c>
      <c r="S22" s="16">
        <v>3600</v>
      </c>
      <c r="T22" s="475">
        <v>2500</v>
      </c>
      <c r="U22" s="16"/>
    </row>
    <row r="23" spans="1:21">
      <c r="A23" s="48" t="s">
        <v>350</v>
      </c>
      <c r="B23" s="8" t="s">
        <v>356</v>
      </c>
      <c r="C23" s="16">
        <v>900</v>
      </c>
      <c r="D23" s="16">
        <v>700.75</v>
      </c>
      <c r="E23" s="16">
        <v>1000</v>
      </c>
      <c r="F23" s="16">
        <v>884.23</v>
      </c>
      <c r="G23" s="16">
        <v>300</v>
      </c>
      <c r="H23" s="16">
        <v>98.58</v>
      </c>
      <c r="I23" s="16">
        <v>300</v>
      </c>
      <c r="J23" s="16">
        <v>336.8</v>
      </c>
      <c r="K23" s="16">
        <v>250</v>
      </c>
      <c r="L23" s="16">
        <v>223.14</v>
      </c>
      <c r="M23" s="16">
        <v>250</v>
      </c>
      <c r="N23" s="149">
        <v>274.72000000000003</v>
      </c>
      <c r="O23" s="16">
        <v>150</v>
      </c>
      <c r="P23" s="16">
        <v>122</v>
      </c>
      <c r="Q23" s="16">
        <v>150</v>
      </c>
      <c r="R23" s="16">
        <v>139.26</v>
      </c>
      <c r="S23" s="16">
        <v>150</v>
      </c>
      <c r="T23" s="16">
        <v>120</v>
      </c>
      <c r="U23" s="16"/>
    </row>
    <row r="24" spans="1:21">
      <c r="A24" s="48" t="s">
        <v>350</v>
      </c>
      <c r="B24" s="8" t="s">
        <v>357</v>
      </c>
      <c r="C24" s="16">
        <v>3000</v>
      </c>
      <c r="D24" s="16">
        <v>2360.6</v>
      </c>
      <c r="E24" s="16">
        <v>5000</v>
      </c>
      <c r="F24" s="16">
        <v>3763.36</v>
      </c>
      <c r="G24" s="16">
        <v>4000</v>
      </c>
      <c r="H24" s="16">
        <v>3305.27</v>
      </c>
      <c r="I24" s="16">
        <v>4000</v>
      </c>
      <c r="J24" s="16">
        <v>5992.9</v>
      </c>
      <c r="K24" s="16">
        <v>5000</v>
      </c>
      <c r="L24" s="16">
        <v>4574.8599999999997</v>
      </c>
      <c r="M24" s="16">
        <v>5000</v>
      </c>
      <c r="N24" s="149">
        <v>5111.7700000000004</v>
      </c>
      <c r="O24" s="16">
        <v>4000</v>
      </c>
      <c r="P24" s="16">
        <v>4120.33</v>
      </c>
      <c r="Q24" s="16">
        <v>3800</v>
      </c>
      <c r="R24" s="16">
        <v>4249.91</v>
      </c>
      <c r="S24" s="16">
        <v>4000</v>
      </c>
      <c r="T24" s="16">
        <v>2000</v>
      </c>
      <c r="U24" s="16"/>
    </row>
    <row r="25" spans="1:21">
      <c r="A25" s="212"/>
      <c r="B25" s="8" t="s">
        <v>358</v>
      </c>
      <c r="C25" s="16">
        <v>0</v>
      </c>
      <c r="D25" s="16">
        <v>0</v>
      </c>
      <c r="E25" s="16">
        <v>0</v>
      </c>
      <c r="F25" s="16">
        <v>376.64</v>
      </c>
      <c r="G25" s="16">
        <v>600</v>
      </c>
      <c r="H25" s="16">
        <v>0</v>
      </c>
      <c r="I25" s="16">
        <v>0</v>
      </c>
      <c r="J25" s="16">
        <v>0</v>
      </c>
      <c r="K25" s="16">
        <v>0</v>
      </c>
      <c r="L25" s="16">
        <v>0</v>
      </c>
      <c r="M25" s="16">
        <v>0</v>
      </c>
      <c r="N25" s="140">
        <v>0</v>
      </c>
      <c r="O25" s="16">
        <v>0</v>
      </c>
      <c r="P25" s="16"/>
      <c r="Q25" s="16"/>
      <c r="R25" s="16"/>
      <c r="S25" s="16"/>
      <c r="T25" s="16"/>
      <c r="U25" s="16"/>
    </row>
    <row r="26" spans="1:21">
      <c r="A26" s="214" t="s">
        <v>340</v>
      </c>
      <c r="B26" s="8" t="s">
        <v>260</v>
      </c>
      <c r="C26" s="16">
        <v>0</v>
      </c>
      <c r="D26" s="16">
        <v>0</v>
      </c>
      <c r="E26" s="16">
        <v>0</v>
      </c>
      <c r="F26" s="16">
        <v>0</v>
      </c>
      <c r="G26" s="16">
        <v>0</v>
      </c>
      <c r="H26" s="16">
        <v>0</v>
      </c>
      <c r="I26" s="16">
        <v>680</v>
      </c>
      <c r="J26" s="16">
        <v>512.37</v>
      </c>
      <c r="K26" s="16">
        <v>680</v>
      </c>
      <c r="L26" s="16">
        <v>270.5</v>
      </c>
      <c r="M26" s="16">
        <v>680</v>
      </c>
      <c r="N26" s="149">
        <v>626.58000000000004</v>
      </c>
      <c r="O26" s="16">
        <v>680</v>
      </c>
      <c r="P26" s="16">
        <v>606.22</v>
      </c>
      <c r="Q26" s="16">
        <v>350</v>
      </c>
      <c r="R26" s="16">
        <v>831.11</v>
      </c>
      <c r="S26" s="16">
        <v>800</v>
      </c>
      <c r="T26" s="16">
        <v>700</v>
      </c>
      <c r="U26" s="16"/>
    </row>
    <row r="27" spans="1:21">
      <c r="A27" s="213"/>
      <c r="B27" s="8" t="s">
        <v>265</v>
      </c>
      <c r="C27" s="16">
        <v>0</v>
      </c>
      <c r="D27" s="16">
        <v>0</v>
      </c>
      <c r="E27" s="16">
        <v>0</v>
      </c>
      <c r="F27" s="16">
        <v>0</v>
      </c>
      <c r="G27" s="16">
        <v>0</v>
      </c>
      <c r="H27" s="16">
        <v>0</v>
      </c>
      <c r="I27" s="16">
        <v>0</v>
      </c>
      <c r="J27" s="16">
        <v>0</v>
      </c>
      <c r="K27" s="16">
        <v>0</v>
      </c>
      <c r="L27" s="16">
        <v>0</v>
      </c>
      <c r="M27" s="16">
        <v>0</v>
      </c>
      <c r="N27" s="140">
        <v>0</v>
      </c>
      <c r="O27" s="16">
        <v>350</v>
      </c>
      <c r="P27" s="16"/>
      <c r="Q27" s="16"/>
      <c r="R27" s="16"/>
      <c r="S27" s="16">
        <v>350</v>
      </c>
      <c r="T27" s="16">
        <v>350</v>
      </c>
      <c r="U27" s="16"/>
    </row>
    <row r="28" spans="1:21">
      <c r="B28" s="8" t="s">
        <v>13</v>
      </c>
      <c r="C28" s="16">
        <f>SUBTOTAL(109,GlowExpenses[Budget 10/11])</f>
        <v>10651.51</v>
      </c>
      <c r="D28" s="16">
        <f>SUBTOTAL(109,GlowExpenses[Actual 10/11])</f>
        <v>9436.6200000000008</v>
      </c>
      <c r="E28" s="16">
        <f>SUBTOTAL(109,GlowExpenses[Budget 11/12])</f>
        <v>14040.01</v>
      </c>
      <c r="F28" s="16">
        <f>SUBTOTAL(109,GlowExpenses[Actual 11/12])</f>
        <v>10900.03</v>
      </c>
      <c r="G28" s="16">
        <f>SUBTOTAL(109,GlowExpenses[Budget 12/13])</f>
        <v>10835</v>
      </c>
      <c r="H28" s="16">
        <f>SUBTOTAL(109,GlowExpenses[Actual 12/13])</f>
        <v>5872.25</v>
      </c>
      <c r="I28" s="16">
        <f>SUBTOTAL(109,GlowExpenses[Budget 13/14])</f>
        <v>10750</v>
      </c>
      <c r="J28" s="16">
        <f>SUBTOTAL(109,GlowExpenses[Actual 13/14])</f>
        <v>11975.789999999999</v>
      </c>
      <c r="K28" s="16">
        <f>SUBTOTAL(109,GlowExpenses[Budget 14/15])</f>
        <v>11065</v>
      </c>
      <c r="L28" s="16">
        <f>SUBTOTAL(109,GlowExpenses[Actual 14/15])</f>
        <v>10037.32</v>
      </c>
      <c r="M28" s="16">
        <f>SUBTOTAL(109,GlowExpenses[Budget 15/16])</f>
        <v>12405</v>
      </c>
      <c r="N28" s="140">
        <f>SUBTOTAL(109,GlowExpenses[Actual 15/16])</f>
        <v>13190.83</v>
      </c>
      <c r="O28" s="16">
        <f>SUBTOTAL(109,GlowExpenses[Budget 16/17])</f>
        <v>12035</v>
      </c>
      <c r="P28" s="16">
        <f>SUBTOTAL(109,GlowExpenses[Actual 16/17])</f>
        <v>11807.13</v>
      </c>
      <c r="Q28" s="16">
        <f>SUBTOTAL(109,GlowExpenses[Budget 17/18])</f>
        <v>11765</v>
      </c>
      <c r="R28" s="1">
        <f>SUM(GlowExpenses[Actual 17/18])</f>
        <v>11022.16</v>
      </c>
      <c r="S28" s="1">
        <f>SUBTOTAL(109,GlowExpenses[Budget 18/19])</f>
        <v>12745</v>
      </c>
      <c r="T28" s="1">
        <f>SUBTOTAL(109,GlowExpenses[Budget 19/20])</f>
        <v>9940</v>
      </c>
      <c r="U28" s="1"/>
    </row>
    <row r="29" spans="1:21" ht="13.5" thickBot="1"/>
    <row r="30" spans="1:21" ht="19.5" thickBot="1">
      <c r="B30" s="452" t="s">
        <v>102</v>
      </c>
      <c r="C30" s="27">
        <f>GlowRevenues[[#Totals],[Budget 10/11]]-GlowExpenses[[#Totals],[Budget 10/11]]</f>
        <v>-9551.51</v>
      </c>
      <c r="D30" s="27">
        <f>GlowRevenues[[#Totals],[Actual 10/11]]-GlowExpenses[[#Totals],[Actual 10/11]]</f>
        <v>-9436.6200000000008</v>
      </c>
      <c r="E30" s="27">
        <f>GlowRevenues[[#Totals],[Budget 11/12]]-GlowExpenses[[#Totals],[Budget 11/12]]</f>
        <v>-12640.01</v>
      </c>
      <c r="F30" s="27">
        <f>GlowRevenues[[#Totals],[Actual 11/12]]-GlowExpenses[[#Totals],[Actual 11/12]]</f>
        <v>-8024.6500000000005</v>
      </c>
      <c r="G30" s="27">
        <f>GlowRevenues[[#Totals],[Budget 12/13]]-GlowExpenses[[#Totals],[Budget 12/13]]</f>
        <v>-10835</v>
      </c>
      <c r="H30" s="27">
        <f>GlowRevenues[[#Totals],[Actual 12/13]]-GlowExpenses[[#Totals],[Actual 12/13]]</f>
        <v>-4113.09</v>
      </c>
      <c r="I30" s="27">
        <f>GlowRevenues[[#Totals],[Budget 13/14]]-GlowExpenses[[#Totals],[Budget 13/14]]</f>
        <v>-10750</v>
      </c>
      <c r="J30" s="27">
        <f>GlowRevenues[[#Totals],[Actual 13/14]]-GlowExpenses[[#Totals],[Actual 13/14]]</f>
        <v>-9375.9199999999983</v>
      </c>
      <c r="K30" s="27">
        <f>GlowRevenues[[#Totals],[Budget 14/15]]-GlowExpenses[[#Totals],[Budget 14/15]]</f>
        <v>-11065</v>
      </c>
      <c r="L30" s="27">
        <f>GlowRevenues[[#Totals],[Actual 14/15]]-GlowExpenses[[#Totals],[Actual 14/15]]</f>
        <v>-8467.2199999999993</v>
      </c>
      <c r="M30" s="27">
        <f>GlowRevenues[[#Totals],[Budget 15/16]]-GlowExpenses[[#Totals],[Budget 15/16]]</f>
        <v>-12405</v>
      </c>
      <c r="N30" s="27">
        <f>GlowRevenues[[#Totals],[Actual 15/16]]-GlowExpenses[[#Totals],[Actual 15/16]]</f>
        <v>-11884.83</v>
      </c>
      <c r="O30" s="66">
        <f>GlowRevenues[[#Totals],[Budget 16/17]]-GlowExpenses[[#Totals],[Budget 16/17]]</f>
        <v>-12035</v>
      </c>
      <c r="P30" s="66">
        <f>GlowRevenues[[#Totals],[Actual 16/17]]-GlowExpenses[[#Totals],[Actual 16/17]]</f>
        <v>-11361.8</v>
      </c>
      <c r="Q30" s="360">
        <f>GlowRevenues[[#Totals],[Budget 17/18]]-GlowExpenses[[#Totals],[Budget 17/18]]</f>
        <v>-11365</v>
      </c>
      <c r="R30" s="360">
        <f>GlowRevenues[[#Totals],[Actual 17/18]]-GlowExpenses[[#Totals],[Actual 17/18]]</f>
        <v>-11022.16</v>
      </c>
      <c r="S30" s="360">
        <f>GlowRevenues[[#Totals],[Budget 18/19]]-GlowExpenses[[#Totals],[Budget 18/19]]</f>
        <v>-12345</v>
      </c>
      <c r="T30" s="360">
        <f>GlowRevenues[[#Totals],[Budget 19/20]]-GlowExpenses[[#Totals],[Budget 19/20]]</f>
        <v>-9540</v>
      </c>
      <c r="U30" s="66"/>
    </row>
    <row r="33" spans="9:16">
      <c r="I33"/>
      <c r="J33"/>
      <c r="K33"/>
      <c r="L33"/>
      <c r="M33"/>
      <c r="N33" s="148"/>
      <c r="O33"/>
      <c r="P33"/>
    </row>
    <row r="34" spans="9:16">
      <c r="I34"/>
      <c r="J34"/>
      <c r="K34"/>
      <c r="L34"/>
      <c r="M34"/>
      <c r="N34" s="148"/>
      <c r="O34"/>
      <c r="P34"/>
    </row>
    <row r="35" spans="9:16">
      <c r="I35"/>
      <c r="J35"/>
      <c r="K35"/>
      <c r="L35"/>
      <c r="M35"/>
      <c r="N35" s="148"/>
      <c r="O35"/>
      <c r="P35"/>
    </row>
    <row r="36" spans="9:16">
      <c r="I36"/>
      <c r="J36"/>
      <c r="K36"/>
      <c r="L36"/>
      <c r="M36"/>
      <c r="N36" s="148"/>
      <c r="O36"/>
      <c r="P36"/>
    </row>
    <row r="37" spans="9:16">
      <c r="I37"/>
      <c r="J37"/>
      <c r="K37"/>
      <c r="L37"/>
      <c r="M37"/>
      <c r="N37" s="148"/>
      <c r="O37"/>
      <c r="P37"/>
    </row>
    <row r="38" spans="9:16">
      <c r="I38"/>
      <c r="J38"/>
      <c r="K38"/>
      <c r="L38"/>
      <c r="M38"/>
      <c r="N38" s="148"/>
      <c r="O38"/>
      <c r="P38"/>
    </row>
    <row r="39" spans="9:16">
      <c r="I39"/>
      <c r="J39"/>
      <c r="K39"/>
      <c r="L39"/>
      <c r="M39"/>
      <c r="N39" s="148"/>
      <c r="O39"/>
      <c r="P39"/>
    </row>
    <row r="40" spans="9:16">
      <c r="I40"/>
      <c r="J40"/>
      <c r="K40"/>
      <c r="L40"/>
      <c r="M40"/>
      <c r="N40" s="148"/>
      <c r="O40"/>
      <c r="P40"/>
    </row>
    <row r="41" spans="9:16">
      <c r="I41"/>
      <c r="J41"/>
      <c r="K41"/>
      <c r="L41"/>
      <c r="M41"/>
      <c r="N41" s="148"/>
      <c r="O41"/>
      <c r="P41"/>
    </row>
    <row r="42" spans="9:16">
      <c r="I42"/>
      <c r="J42"/>
      <c r="K42"/>
      <c r="L42"/>
      <c r="M42"/>
      <c r="N42" s="148"/>
      <c r="O42"/>
      <c r="P42"/>
    </row>
    <row r="43" spans="9:16">
      <c r="I43"/>
      <c r="J43"/>
      <c r="K43"/>
      <c r="L43"/>
      <c r="M43"/>
      <c r="N43" s="148"/>
      <c r="O43"/>
      <c r="P43"/>
    </row>
    <row r="44" spans="9:16">
      <c r="I44"/>
      <c r="J44"/>
      <c r="K44"/>
      <c r="L44"/>
      <c r="M44"/>
      <c r="N44" s="148"/>
      <c r="O44"/>
      <c r="P44"/>
    </row>
  </sheetData>
  <customSheetViews>
    <customSheetView guid="{DC934874-AE9C-4DF4-8DA8-4394DABABB42}" showRuler="0">
      <selection activeCell="G19" sqref="G19"/>
      <pageMargins left="0" right="0" top="0" bottom="0" header="0" footer="0"/>
      <pageSetup orientation="portrait"/>
      <headerFooter alignWithMargins="0"/>
    </customSheetView>
    <customSheetView guid="{7FD89B2E-4983-4B8D-ABA2-A07F685A0C6E}" showRuler="0">
      <selection activeCell="G18" sqref="G18"/>
      <pageMargins left="0" right="0" top="0" bottom="0" header="0" footer="0"/>
      <pageSetup orientation="portrait"/>
      <headerFooter alignWithMargins="0"/>
    </customSheetView>
    <customSheetView guid="{84D8AC11-A493-4338-8044-6F4154C29695}" showRuler="0">
      <selection activeCell="G17" sqref="G17"/>
      <pageMargins left="0" right="0" top="0" bottom="0" header="0" footer="0"/>
      <pageSetup orientation="portrait"/>
      <headerFooter alignWithMargins="0"/>
    </customSheetView>
    <customSheetView guid="{BB157E55-0A2E-4D9F-A3BF-E83E5442FC27}" showPageBreaks="1" showRuler="0">
      <selection activeCell="G15" sqref="G15"/>
      <pageMargins left="0" right="0" top="0" bottom="0" header="0" footer="0"/>
      <pageSetup orientation="portrait"/>
      <headerFooter alignWithMargins="0"/>
    </customSheetView>
  </customSheetViews>
  <mergeCells count="2">
    <mergeCell ref="A1:B1"/>
    <mergeCell ref="A3:B3"/>
  </mergeCells>
  <phoneticPr fontId="0" type="noConversion"/>
  <pageMargins left="0" right="0" top="0.98425196850393704" bottom="0.98425196850393704" header="0.51181102362204722" footer="0.51181102362204722"/>
  <pageSetup orientation="landscape" blackAndWhite="1" r:id="rId1"/>
  <headerFooter alignWithMargins="0"/>
  <legacyDrawing r:id="rId2"/>
  <tableParts count="2">
    <tablePart r:id="rId3"/>
    <tablePart r:id="rId4"/>
  </tablePar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theme="1"/>
    <pageSetUpPr fitToPage="1"/>
  </sheetPr>
  <dimension ref="A1:Y51"/>
  <sheetViews>
    <sheetView showGridLines="0" zoomScale="90" zoomScaleNormal="90" workbookViewId="0">
      <selection activeCell="W61" sqref="W61"/>
    </sheetView>
  </sheetViews>
  <sheetFormatPr defaultColWidth="11.42578125" defaultRowHeight="12.75"/>
  <cols>
    <col min="1" max="1" width="20.42578125" style="8" bestFit="1" customWidth="1"/>
    <col min="2" max="2" width="31.42578125" style="8" customWidth="1"/>
    <col min="3" max="13" width="16.85546875" style="8" hidden="1" customWidth="1"/>
    <col min="14" max="14" width="14.28515625" style="138" hidden="1" customWidth="1"/>
    <col min="15" max="15" width="14.28515625" style="8" hidden="1" customWidth="1"/>
    <col min="16" max="16" width="14.85546875" style="8" hidden="1" customWidth="1"/>
    <col min="17" max="17" width="15.5703125" style="8" customWidth="1"/>
    <col min="18" max="18" width="16.7109375" style="8" customWidth="1"/>
    <col min="19" max="19" width="14.28515625" style="8" customWidth="1"/>
    <col min="20" max="21" width="14.5703125" style="8" bestFit="1" customWidth="1"/>
    <col min="22" max="16384" width="11.42578125" style="8"/>
  </cols>
  <sheetData>
    <row r="1" spans="1:25" ht="18">
      <c r="A1" s="534" t="s">
        <v>359</v>
      </c>
      <c r="B1" s="536"/>
    </row>
    <row r="2" spans="1:25">
      <c r="A2" s="28" t="s">
        <v>186</v>
      </c>
    </row>
    <row r="4" spans="1:25">
      <c r="A4" s="48" t="s">
        <v>107</v>
      </c>
      <c r="B4" s="8" t="s">
        <v>47</v>
      </c>
      <c r="C4" s="8" t="s">
        <v>48</v>
      </c>
      <c r="D4" s="8" t="s">
        <v>49</v>
      </c>
      <c r="E4" s="8" t="s">
        <v>50</v>
      </c>
      <c r="F4" s="8" t="s">
        <v>51</v>
      </c>
      <c r="G4" s="8" t="s">
        <v>52</v>
      </c>
      <c r="H4" s="8" t="s">
        <v>53</v>
      </c>
      <c r="I4" s="8" t="s">
        <v>54</v>
      </c>
      <c r="J4" s="8" t="s">
        <v>55</v>
      </c>
      <c r="K4" s="8" t="s">
        <v>56</v>
      </c>
      <c r="L4" s="8" t="s">
        <v>104</v>
      </c>
      <c r="M4" s="8" t="s">
        <v>29</v>
      </c>
      <c r="N4" s="124" t="s">
        <v>30</v>
      </c>
      <c r="O4" s="8" t="s">
        <v>31</v>
      </c>
      <c r="P4" s="8" t="s">
        <v>32</v>
      </c>
      <c r="Q4" s="8" t="s">
        <v>33</v>
      </c>
      <c r="R4" s="8" t="s">
        <v>34</v>
      </c>
      <c r="S4" s="8" t="s">
        <v>6</v>
      </c>
      <c r="T4" s="8" t="s">
        <v>8</v>
      </c>
      <c r="U4" s="8" t="s">
        <v>35</v>
      </c>
    </row>
    <row r="5" spans="1:25">
      <c r="A5" s="48" t="s">
        <v>360</v>
      </c>
      <c r="B5" s="8" t="s">
        <v>295</v>
      </c>
      <c r="C5" s="72">
        <v>0</v>
      </c>
      <c r="D5" s="72">
        <v>0</v>
      </c>
      <c r="E5" s="72">
        <v>0</v>
      </c>
      <c r="F5" s="72">
        <v>1267.1300000000001</v>
      </c>
      <c r="G5" s="72">
        <v>0</v>
      </c>
      <c r="H5" s="72">
        <v>1168.75</v>
      </c>
      <c r="I5" s="72">
        <v>0</v>
      </c>
      <c r="J5" s="72">
        <v>2355.9499999999998</v>
      </c>
      <c r="K5" s="72">
        <v>0</v>
      </c>
      <c r="L5" s="72">
        <v>3963.85</v>
      </c>
      <c r="M5" s="72">
        <v>0</v>
      </c>
      <c r="N5" s="161">
        <v>0</v>
      </c>
      <c r="O5" s="72">
        <v>0</v>
      </c>
      <c r="P5" s="72">
        <v>3572.04</v>
      </c>
      <c r="Q5" s="72">
        <v>1500</v>
      </c>
      <c r="R5" s="72">
        <v>3382.06</v>
      </c>
      <c r="S5" s="72">
        <v>3000</v>
      </c>
      <c r="T5" s="72">
        <v>1000</v>
      </c>
      <c r="U5" s="72"/>
    </row>
    <row r="6" spans="1:25">
      <c r="A6" s="48" t="s">
        <v>361</v>
      </c>
      <c r="B6" s="8" t="s">
        <v>187</v>
      </c>
      <c r="C6" s="72">
        <v>0</v>
      </c>
      <c r="D6" s="72">
        <v>0</v>
      </c>
      <c r="E6" s="72">
        <v>0</v>
      </c>
      <c r="F6" s="72">
        <v>0</v>
      </c>
      <c r="G6" s="72">
        <v>0</v>
      </c>
      <c r="H6" s="72">
        <v>0</v>
      </c>
      <c r="I6" s="72">
        <v>0</v>
      </c>
      <c r="J6" s="72">
        <v>500</v>
      </c>
      <c r="K6" s="72">
        <v>0</v>
      </c>
      <c r="L6" s="72">
        <v>200</v>
      </c>
      <c r="M6" s="72">
        <v>0</v>
      </c>
      <c r="N6" s="161">
        <v>0</v>
      </c>
      <c r="O6" s="72">
        <v>0</v>
      </c>
      <c r="P6" s="72"/>
      <c r="Q6" s="72"/>
      <c r="R6" s="72">
        <v>539.04</v>
      </c>
      <c r="S6" s="72"/>
      <c r="T6" s="72"/>
      <c r="U6" s="72"/>
    </row>
    <row r="7" spans="1:25">
      <c r="A7" s="48" t="s">
        <v>362</v>
      </c>
      <c r="B7" s="8" t="s">
        <v>297</v>
      </c>
      <c r="C7" s="72">
        <v>0</v>
      </c>
      <c r="D7" s="72">
        <v>0</v>
      </c>
      <c r="E7" s="72">
        <v>0</v>
      </c>
      <c r="F7" s="72">
        <v>1065.3399999999999</v>
      </c>
      <c r="G7" s="72">
        <v>0</v>
      </c>
      <c r="H7" s="72">
        <v>500</v>
      </c>
      <c r="I7" s="72">
        <v>0</v>
      </c>
      <c r="J7" s="72">
        <v>38.1</v>
      </c>
      <c r="K7" s="72">
        <v>0</v>
      </c>
      <c r="L7" s="72">
        <v>0</v>
      </c>
      <c r="M7" s="72">
        <v>0</v>
      </c>
      <c r="N7" s="157">
        <v>432.5</v>
      </c>
      <c r="O7" s="72">
        <v>0</v>
      </c>
      <c r="P7" s="72"/>
      <c r="Q7" s="72"/>
      <c r="R7" s="72">
        <v>38.549999999999997</v>
      </c>
      <c r="S7" s="72"/>
      <c r="T7" s="72"/>
      <c r="U7" s="72"/>
    </row>
    <row r="8" spans="1:25">
      <c r="B8" s="8" t="s">
        <v>13</v>
      </c>
      <c r="C8" s="73">
        <f>SUBTOTAL(109,SCIRevenues[Budget 10/11])</f>
        <v>0</v>
      </c>
      <c r="D8" s="73">
        <f>SUBTOTAL(109,SCIRevenues[Actual 10/11])</f>
        <v>0</v>
      </c>
      <c r="E8" s="73">
        <f>SUBTOTAL(109,SCIRevenues[Budget 11/12])</f>
        <v>0</v>
      </c>
      <c r="F8" s="73">
        <f>SUBTOTAL(109,SCIRevenues[Actual 11/12])</f>
        <v>2332.4700000000003</v>
      </c>
      <c r="G8" s="73">
        <f>SUBTOTAL(109,SCIRevenues[Budget 12/13])</f>
        <v>0</v>
      </c>
      <c r="H8" s="73">
        <f>SUBTOTAL(109,SCIRevenues[Actual 12/13])</f>
        <v>1668.75</v>
      </c>
      <c r="I8" s="73">
        <f>SUBTOTAL(109,SCIRevenues[Budget 13/14])</f>
        <v>0</v>
      </c>
      <c r="J8" s="73">
        <f>SUBTOTAL(109,SCIRevenues[Actual 13/14])</f>
        <v>2894.0499999999997</v>
      </c>
      <c r="K8" s="73">
        <f>SUBTOTAL(109,SCIRevenues[Budget 14/15])</f>
        <v>0</v>
      </c>
      <c r="L8" s="73">
        <f>SUBTOTAL(109,SCIRevenues[Actual 14/15])</f>
        <v>4163.8500000000004</v>
      </c>
      <c r="M8" s="73">
        <f>SUBTOTAL(109,SCIRevenues[Budget 15/16])</f>
        <v>0</v>
      </c>
      <c r="N8" s="476">
        <f>SUBTOTAL(109,SCIRevenues[Actual 15/16])</f>
        <v>432.5</v>
      </c>
      <c r="O8" s="73">
        <f>SUBTOTAL(109,SCIRevenues[Budget 16/17])</f>
        <v>0</v>
      </c>
      <c r="P8" s="73">
        <f>SUBTOTAL(109,SCIRevenues[Actual 16/17])</f>
        <v>3572.04</v>
      </c>
      <c r="Q8" s="73">
        <f>SUBTOTAL(109,SCIRevenues[Budget 17/18])</f>
        <v>1500</v>
      </c>
      <c r="R8" s="188">
        <f>SUBTOTAL(109,SCIRevenues[Actual 17/18])</f>
        <v>3959.65</v>
      </c>
      <c r="S8" s="477">
        <f>SUM(SCIRevenues[Budget 18/19])</f>
        <v>3000</v>
      </c>
      <c r="T8" s="477">
        <f>SUM(SCIRevenues[Budget 19/20])</f>
        <v>1000</v>
      </c>
      <c r="U8" s="477"/>
      <c r="V8"/>
      <c r="W8"/>
      <c r="X8"/>
      <c r="Y8"/>
    </row>
    <row r="9" spans="1:25">
      <c r="C9" s="72"/>
      <c r="D9" s="72"/>
      <c r="E9" s="72"/>
      <c r="F9" s="72"/>
      <c r="G9" s="72"/>
      <c r="H9" s="72"/>
      <c r="I9" s="72"/>
      <c r="J9" s="72"/>
      <c r="K9" s="72"/>
      <c r="L9" s="72"/>
      <c r="M9" s="72"/>
      <c r="P9"/>
      <c r="Q9"/>
      <c r="R9" s="112"/>
      <c r="S9"/>
      <c r="T9"/>
      <c r="U9"/>
      <c r="V9"/>
      <c r="W9"/>
      <c r="X9"/>
      <c r="Y9"/>
    </row>
    <row r="10" spans="1:25">
      <c r="P10"/>
      <c r="Q10"/>
      <c r="R10"/>
      <c r="S10"/>
      <c r="T10"/>
      <c r="U10"/>
      <c r="V10"/>
      <c r="W10"/>
      <c r="X10"/>
      <c r="Y10"/>
    </row>
    <row r="11" spans="1:25">
      <c r="A11" s="48" t="s">
        <v>107</v>
      </c>
      <c r="B11" s="8" t="s">
        <v>61</v>
      </c>
      <c r="C11" s="8" t="s">
        <v>48</v>
      </c>
      <c r="D11" s="8" t="s">
        <v>49</v>
      </c>
      <c r="E11" s="8" t="s">
        <v>50</v>
      </c>
      <c r="F11" s="8" t="s">
        <v>51</v>
      </c>
      <c r="G11" s="8" t="s">
        <v>52</v>
      </c>
      <c r="H11" s="8" t="s">
        <v>53</v>
      </c>
      <c r="I11" s="8" t="s">
        <v>54</v>
      </c>
      <c r="J11" s="8" t="s">
        <v>55</v>
      </c>
      <c r="K11" s="8" t="s">
        <v>56</v>
      </c>
      <c r="L11" s="8" t="s">
        <v>104</v>
      </c>
      <c r="M11" s="8" t="s">
        <v>29</v>
      </c>
      <c r="N11" s="124" t="s">
        <v>30</v>
      </c>
      <c r="O11" s="8" t="s">
        <v>31</v>
      </c>
      <c r="P11" s="8" t="s">
        <v>32</v>
      </c>
      <c r="Q11" s="8" t="s">
        <v>33</v>
      </c>
      <c r="R11" s="8" t="s">
        <v>34</v>
      </c>
      <c r="S11" s="8" t="s">
        <v>6</v>
      </c>
      <c r="T11" s="8" t="s">
        <v>8</v>
      </c>
      <c r="U11" s="8" t="s">
        <v>35</v>
      </c>
      <c r="V11"/>
      <c r="W11"/>
      <c r="X11"/>
      <c r="Y11"/>
    </row>
    <row r="12" spans="1:25">
      <c r="A12" s="48" t="s">
        <v>363</v>
      </c>
      <c r="B12" s="8" t="s">
        <v>116</v>
      </c>
      <c r="C12" s="44">
        <v>1200</v>
      </c>
      <c r="D12" s="44">
        <v>2039.78</v>
      </c>
      <c r="E12" s="44">
        <v>2900</v>
      </c>
      <c r="F12" s="44">
        <v>4533.54</v>
      </c>
      <c r="G12" s="44">
        <v>4200</v>
      </c>
      <c r="H12" s="44">
        <v>4076.39</v>
      </c>
      <c r="I12" s="44">
        <f>540+900+270</f>
        <v>1710</v>
      </c>
      <c r="J12" s="44">
        <v>1663.1</v>
      </c>
      <c r="K12" s="44">
        <v>1860</v>
      </c>
      <c r="L12" s="44">
        <v>1219.8</v>
      </c>
      <c r="M12" s="44">
        <v>1500</v>
      </c>
      <c r="N12" s="157">
        <v>1444.65</v>
      </c>
      <c r="O12" s="44">
        <v>1500</v>
      </c>
      <c r="P12" s="122">
        <v>1488.88</v>
      </c>
      <c r="Q12" s="122">
        <v>1500</v>
      </c>
      <c r="R12" s="122">
        <v>1936.95</v>
      </c>
      <c r="S12" s="122">
        <v>1500</v>
      </c>
      <c r="T12" s="122">
        <v>1500</v>
      </c>
      <c r="U12" s="122"/>
      <c r="V12"/>
      <c r="W12"/>
      <c r="X12"/>
      <c r="Y12"/>
    </row>
    <row r="13" spans="1:25">
      <c r="A13" s="48" t="s">
        <v>364</v>
      </c>
      <c r="B13" s="8" t="s">
        <v>70</v>
      </c>
      <c r="C13" s="44">
        <v>250</v>
      </c>
      <c r="D13" s="44">
        <v>227.4</v>
      </c>
      <c r="E13" s="44">
        <v>250</v>
      </c>
      <c r="F13" s="44">
        <v>227.4</v>
      </c>
      <c r="G13" s="44">
        <v>250</v>
      </c>
      <c r="H13" s="44">
        <v>227.4</v>
      </c>
      <c r="I13" s="44">
        <v>250</v>
      </c>
      <c r="J13" s="44">
        <v>227.4</v>
      </c>
      <c r="K13" s="44">
        <v>125</v>
      </c>
      <c r="L13" s="44">
        <v>189.5</v>
      </c>
      <c r="M13" s="44" t="s">
        <v>365</v>
      </c>
      <c r="N13" s="157">
        <v>0</v>
      </c>
      <c r="O13" s="44">
        <v>0</v>
      </c>
      <c r="P13" s="122"/>
      <c r="Q13" s="122"/>
      <c r="R13" s="122"/>
      <c r="S13" s="122"/>
      <c r="T13" s="122"/>
      <c r="U13" s="122"/>
      <c r="V13"/>
      <c r="W13"/>
      <c r="X13"/>
      <c r="Y13"/>
    </row>
    <row r="14" spans="1:25">
      <c r="A14" s="48" t="s">
        <v>366</v>
      </c>
      <c r="B14" s="8" t="s">
        <v>77</v>
      </c>
      <c r="C14" s="44">
        <v>100</v>
      </c>
      <c r="D14" s="44">
        <v>24.41</v>
      </c>
      <c r="E14" s="44">
        <v>10</v>
      </c>
      <c r="F14" s="44">
        <v>0</v>
      </c>
      <c r="G14" s="44">
        <v>10</v>
      </c>
      <c r="H14" s="44">
        <v>0</v>
      </c>
      <c r="I14" s="44">
        <v>10</v>
      </c>
      <c r="J14" s="44">
        <v>8.34</v>
      </c>
      <c r="K14" s="44">
        <v>10</v>
      </c>
      <c r="L14" s="44">
        <v>1.63</v>
      </c>
      <c r="M14" s="44"/>
      <c r="N14" s="157">
        <v>0.34</v>
      </c>
      <c r="O14" s="44">
        <v>0</v>
      </c>
      <c r="P14" s="122"/>
      <c r="Q14" s="122">
        <v>200</v>
      </c>
      <c r="R14" s="122"/>
      <c r="S14" s="122">
        <v>20</v>
      </c>
      <c r="T14" s="122"/>
      <c r="U14" s="122"/>
      <c r="V14"/>
      <c r="W14"/>
      <c r="X14"/>
      <c r="Y14"/>
    </row>
    <row r="15" spans="1:25">
      <c r="A15" s="48" t="s">
        <v>367</v>
      </c>
      <c r="B15" s="8" t="s">
        <v>258</v>
      </c>
      <c r="C15" s="44">
        <v>250</v>
      </c>
      <c r="D15" s="44">
        <v>478.92</v>
      </c>
      <c r="E15" s="44">
        <v>400</v>
      </c>
      <c r="F15" s="44">
        <v>284.16000000000003</v>
      </c>
      <c r="G15" s="44">
        <v>200</v>
      </c>
      <c r="H15" s="44">
        <v>30.01</v>
      </c>
      <c r="I15" s="44">
        <v>200</v>
      </c>
      <c r="J15" s="44">
        <v>156.08000000000001</v>
      </c>
      <c r="K15" s="44">
        <v>200</v>
      </c>
      <c r="L15" s="44">
        <v>11.25</v>
      </c>
      <c r="M15" s="44">
        <v>200</v>
      </c>
      <c r="N15" s="157">
        <v>200.33</v>
      </c>
      <c r="O15" s="44">
        <v>200</v>
      </c>
      <c r="P15" s="122">
        <v>23.68</v>
      </c>
      <c r="Q15" s="122">
        <v>550</v>
      </c>
      <c r="R15" s="122">
        <v>185.43</v>
      </c>
      <c r="S15" s="122">
        <v>350</v>
      </c>
      <c r="T15" s="122"/>
      <c r="U15" s="122"/>
      <c r="V15"/>
      <c r="W15"/>
      <c r="X15"/>
      <c r="Y15"/>
    </row>
    <row r="16" spans="1:25">
      <c r="A16" s="48" t="s">
        <v>368</v>
      </c>
      <c r="B16" s="8" t="s">
        <v>81</v>
      </c>
      <c r="C16" s="44">
        <v>600</v>
      </c>
      <c r="D16" s="44">
        <v>565.97</v>
      </c>
      <c r="E16" s="44">
        <v>1400</v>
      </c>
      <c r="F16" s="44">
        <v>516.66999999999996</v>
      </c>
      <c r="G16" s="44">
        <v>1000</v>
      </c>
      <c r="H16" s="44">
        <v>446.82</v>
      </c>
      <c r="I16" s="44">
        <v>1000</v>
      </c>
      <c r="J16" s="44">
        <v>514.63</v>
      </c>
      <c r="K16" s="44">
        <v>817</v>
      </c>
      <c r="L16" s="44">
        <v>1095.74</v>
      </c>
      <c r="M16" s="44">
        <v>800</v>
      </c>
      <c r="N16" s="157">
        <v>588.49</v>
      </c>
      <c r="O16" s="44">
        <v>550</v>
      </c>
      <c r="P16" s="122">
        <v>545.30999999999995</v>
      </c>
      <c r="Q16" s="122"/>
      <c r="R16" s="122">
        <v>101.15</v>
      </c>
      <c r="S16" s="122">
        <v>300</v>
      </c>
      <c r="T16" s="122">
        <v>200</v>
      </c>
      <c r="U16" s="122"/>
      <c r="V16"/>
      <c r="W16"/>
      <c r="X16"/>
      <c r="Y16"/>
    </row>
    <row r="17" spans="1:25" hidden="1">
      <c r="A17" s="48"/>
      <c r="B17" s="8" t="s">
        <v>306</v>
      </c>
      <c r="C17" s="44">
        <v>1875</v>
      </c>
      <c r="D17" s="44">
        <v>251.65</v>
      </c>
      <c r="E17" s="44">
        <v>750</v>
      </c>
      <c r="F17" s="44">
        <v>798.06</v>
      </c>
      <c r="G17" s="44">
        <v>0</v>
      </c>
      <c r="H17" s="44">
        <v>0</v>
      </c>
      <c r="I17" s="44">
        <v>0</v>
      </c>
      <c r="J17" s="44">
        <v>0</v>
      </c>
      <c r="K17" s="44">
        <v>0</v>
      </c>
      <c r="L17" s="44">
        <v>0</v>
      </c>
      <c r="M17" s="44">
        <v>0</v>
      </c>
      <c r="N17" s="157">
        <v>0</v>
      </c>
      <c r="O17" s="44">
        <v>0</v>
      </c>
      <c r="P17" s="122"/>
      <c r="Q17" s="122"/>
      <c r="R17" s="122"/>
      <c r="S17" s="122"/>
      <c r="T17" s="122"/>
      <c r="U17" s="122"/>
      <c r="V17"/>
      <c r="W17"/>
      <c r="X17"/>
      <c r="Y17"/>
    </row>
    <row r="18" spans="1:25" hidden="1">
      <c r="A18" s="48" t="s">
        <v>369</v>
      </c>
      <c r="B18" s="8" t="s">
        <v>289</v>
      </c>
      <c r="C18" s="44">
        <v>600</v>
      </c>
      <c r="D18" s="44">
        <v>46.34</v>
      </c>
      <c r="E18" s="44">
        <v>5226</v>
      </c>
      <c r="F18" s="44">
        <v>5527.69</v>
      </c>
      <c r="G18" s="44">
        <v>0</v>
      </c>
      <c r="H18" s="44">
        <v>0</v>
      </c>
      <c r="I18" s="44">
        <v>0</v>
      </c>
      <c r="J18" s="44">
        <v>700</v>
      </c>
      <c r="K18" s="44">
        <v>0</v>
      </c>
      <c r="L18" s="44">
        <v>0</v>
      </c>
      <c r="M18" s="44">
        <v>0</v>
      </c>
      <c r="N18" s="157">
        <v>0</v>
      </c>
      <c r="O18" s="44">
        <v>0</v>
      </c>
      <c r="P18" s="122"/>
      <c r="Q18" s="122"/>
      <c r="R18" s="122"/>
      <c r="S18" s="122"/>
      <c r="T18" s="122"/>
      <c r="U18" s="122"/>
      <c r="V18"/>
      <c r="W18"/>
      <c r="X18"/>
      <c r="Y18"/>
    </row>
    <row r="19" spans="1:25">
      <c r="A19" s="48" t="s">
        <v>370</v>
      </c>
      <c r="B19" s="8" t="s">
        <v>251</v>
      </c>
      <c r="C19" s="44">
        <v>0</v>
      </c>
      <c r="D19" s="44">
        <v>33.270000000000003</v>
      </c>
      <c r="E19" s="44">
        <v>0</v>
      </c>
      <c r="F19" s="44">
        <v>0</v>
      </c>
      <c r="G19" s="44">
        <v>0</v>
      </c>
      <c r="H19" s="44">
        <v>0</v>
      </c>
      <c r="I19" s="44">
        <v>0</v>
      </c>
      <c r="J19" s="44">
        <v>0</v>
      </c>
      <c r="K19" s="44"/>
      <c r="L19" s="44">
        <v>3845</v>
      </c>
      <c r="M19" s="44">
        <v>0</v>
      </c>
      <c r="N19" s="157">
        <v>0</v>
      </c>
      <c r="O19" s="44">
        <v>0</v>
      </c>
      <c r="P19" s="122"/>
      <c r="Q19" s="122"/>
      <c r="R19" s="122">
        <v>11.3</v>
      </c>
      <c r="S19" s="122"/>
      <c r="T19" s="122"/>
      <c r="U19" s="122"/>
      <c r="V19"/>
      <c r="W19"/>
      <c r="X19"/>
      <c r="Y19"/>
    </row>
    <row r="20" spans="1:25">
      <c r="A20" s="48" t="s">
        <v>371</v>
      </c>
      <c r="B20" s="8" t="s">
        <v>89</v>
      </c>
      <c r="C20" s="44">
        <v>600</v>
      </c>
      <c r="D20" s="44">
        <v>208.72</v>
      </c>
      <c r="E20" s="44">
        <v>2250</v>
      </c>
      <c r="F20" s="44">
        <v>1993.82</v>
      </c>
      <c r="G20" s="44">
        <v>1710</v>
      </c>
      <c r="H20" s="44">
        <v>1182.43</v>
      </c>
      <c r="I20" s="44"/>
      <c r="J20" s="44">
        <v>2759.38</v>
      </c>
      <c r="K20" s="44">
        <v>3750</v>
      </c>
      <c r="L20" s="44">
        <v>3559.82</v>
      </c>
      <c r="M20" s="44">
        <v>3000</v>
      </c>
      <c r="N20" s="157">
        <v>3730.74</v>
      </c>
      <c r="O20" s="44">
        <v>3500</v>
      </c>
      <c r="P20" s="122">
        <v>3445.01</v>
      </c>
      <c r="Q20" s="122">
        <v>3500</v>
      </c>
      <c r="R20" s="122">
        <v>3314.95</v>
      </c>
      <c r="S20" s="122">
        <v>3700</v>
      </c>
      <c r="T20" s="122">
        <v>3000</v>
      </c>
      <c r="U20" s="122"/>
      <c r="V20"/>
      <c r="W20"/>
      <c r="X20"/>
      <c r="Y20"/>
    </row>
    <row r="21" spans="1:25" hidden="1">
      <c r="A21" s="48" t="s">
        <v>372</v>
      </c>
      <c r="B21" s="8" t="s">
        <v>356</v>
      </c>
      <c r="C21" s="44">
        <v>200</v>
      </c>
      <c r="D21" s="44">
        <v>26.39</v>
      </c>
      <c r="E21" s="44">
        <v>100</v>
      </c>
      <c r="F21" s="44">
        <v>0</v>
      </c>
      <c r="G21" s="44">
        <v>0</v>
      </c>
      <c r="H21" s="44">
        <v>0</v>
      </c>
      <c r="I21" s="44">
        <v>0</v>
      </c>
      <c r="J21" s="44">
        <v>0</v>
      </c>
      <c r="K21" s="44">
        <v>0</v>
      </c>
      <c r="L21" s="44">
        <v>0</v>
      </c>
      <c r="M21" s="44">
        <v>0</v>
      </c>
      <c r="N21" s="157">
        <v>0</v>
      </c>
      <c r="O21" s="44">
        <v>0</v>
      </c>
      <c r="P21" s="122"/>
      <c r="Q21" s="122"/>
      <c r="R21" s="122"/>
      <c r="S21" s="122"/>
      <c r="T21" s="122"/>
      <c r="U21" s="122"/>
      <c r="V21"/>
      <c r="W21"/>
      <c r="X21"/>
      <c r="Y21"/>
    </row>
    <row r="22" spans="1:25" hidden="1">
      <c r="A22" s="48" t="s">
        <v>373</v>
      </c>
      <c r="B22" s="8" t="s">
        <v>374</v>
      </c>
      <c r="C22" s="44">
        <v>0</v>
      </c>
      <c r="D22" s="44">
        <v>0</v>
      </c>
      <c r="E22" s="44">
        <v>0</v>
      </c>
      <c r="F22" s="44">
        <v>0</v>
      </c>
      <c r="G22" s="44">
        <v>0</v>
      </c>
      <c r="H22" s="44">
        <v>0</v>
      </c>
      <c r="I22" s="44">
        <v>0</v>
      </c>
      <c r="J22" s="44">
        <v>0</v>
      </c>
      <c r="K22" s="44">
        <v>0</v>
      </c>
      <c r="L22" s="44">
        <v>0</v>
      </c>
      <c r="M22" s="44">
        <v>0</v>
      </c>
      <c r="N22" s="157">
        <v>0</v>
      </c>
      <c r="O22" s="44">
        <v>0</v>
      </c>
      <c r="P22" s="122"/>
      <c r="Q22" s="122"/>
      <c r="R22" s="122"/>
      <c r="S22" s="122"/>
      <c r="T22" s="122"/>
      <c r="U22" s="122"/>
      <c r="V22"/>
      <c r="W22"/>
      <c r="X22"/>
      <c r="Y22"/>
    </row>
    <row r="23" spans="1:25" hidden="1">
      <c r="A23" s="48" t="s">
        <v>375</v>
      </c>
      <c r="B23" s="8" t="s">
        <v>376</v>
      </c>
      <c r="C23" s="44">
        <v>1300</v>
      </c>
      <c r="D23" s="44">
        <v>1300</v>
      </c>
      <c r="E23" s="44">
        <v>2665</v>
      </c>
      <c r="F23" s="44">
        <v>1267.1199999999999</v>
      </c>
      <c r="G23" s="44">
        <v>1000</v>
      </c>
      <c r="H23" s="44">
        <v>-9.1300000000000008</v>
      </c>
      <c r="I23" s="44">
        <v>1000</v>
      </c>
      <c r="J23" s="44">
        <v>3450.78</v>
      </c>
      <c r="K23" s="44">
        <v>0</v>
      </c>
      <c r="L23" s="44">
        <v>134.84</v>
      </c>
      <c r="M23" s="44">
        <v>0</v>
      </c>
      <c r="N23" s="157">
        <v>0</v>
      </c>
      <c r="O23" s="44">
        <v>0</v>
      </c>
      <c r="P23" s="122"/>
      <c r="Q23" s="122"/>
      <c r="R23" s="122"/>
      <c r="S23" s="122"/>
      <c r="T23" s="122"/>
      <c r="U23" s="122"/>
      <c r="V23"/>
      <c r="W23"/>
      <c r="X23"/>
      <c r="Y23"/>
    </row>
    <row r="24" spans="1:25" hidden="1">
      <c r="A24" s="48" t="s">
        <v>377</v>
      </c>
      <c r="B24" s="8" t="s">
        <v>378</v>
      </c>
      <c r="C24" s="44">
        <v>0</v>
      </c>
      <c r="D24" s="44">
        <v>0</v>
      </c>
      <c r="E24" s="44">
        <v>0</v>
      </c>
      <c r="F24" s="44">
        <v>272.63</v>
      </c>
      <c r="G24" s="44">
        <v>0</v>
      </c>
      <c r="H24" s="44">
        <v>251.16</v>
      </c>
      <c r="I24" s="44">
        <v>0</v>
      </c>
      <c r="J24" s="44">
        <v>0</v>
      </c>
      <c r="K24" s="44"/>
      <c r="L24" s="44">
        <v>0</v>
      </c>
      <c r="M24" s="44">
        <v>0</v>
      </c>
      <c r="N24" s="157">
        <v>0</v>
      </c>
      <c r="O24" s="44">
        <v>0</v>
      </c>
      <c r="P24" s="122"/>
      <c r="Q24" s="122"/>
      <c r="R24" s="122"/>
      <c r="S24" s="122"/>
      <c r="T24" s="122"/>
      <c r="U24" s="122"/>
      <c r="V24"/>
      <c r="W24"/>
      <c r="X24"/>
      <c r="Y24"/>
    </row>
    <row r="25" spans="1:25" hidden="1">
      <c r="A25" s="48" t="s">
        <v>379</v>
      </c>
      <c r="B25" s="8" t="s">
        <v>380</v>
      </c>
      <c r="C25" s="44">
        <v>1500</v>
      </c>
      <c r="D25" s="44">
        <v>1113.6300000000001</v>
      </c>
      <c r="E25" s="44">
        <v>1815</v>
      </c>
      <c r="F25" s="44">
        <v>1033.46</v>
      </c>
      <c r="G25" s="44">
        <v>450</v>
      </c>
      <c r="H25" s="44">
        <v>55.83</v>
      </c>
      <c r="I25" s="44">
        <v>0</v>
      </c>
      <c r="J25" s="44">
        <v>0</v>
      </c>
      <c r="K25" s="44">
        <v>0</v>
      </c>
      <c r="L25" s="44">
        <v>0</v>
      </c>
      <c r="M25" s="44">
        <v>0</v>
      </c>
      <c r="N25" s="157">
        <v>0</v>
      </c>
      <c r="O25" s="44">
        <v>0</v>
      </c>
      <c r="P25" s="122"/>
      <c r="Q25" s="122"/>
      <c r="R25" s="122"/>
      <c r="S25" s="122"/>
      <c r="T25" s="122"/>
      <c r="U25" s="122"/>
      <c r="V25"/>
      <c r="W25"/>
      <c r="X25"/>
      <c r="Y25"/>
    </row>
    <row r="26" spans="1:25" hidden="1">
      <c r="A26" s="48" t="s">
        <v>381</v>
      </c>
      <c r="B26" s="8" t="s">
        <v>382</v>
      </c>
      <c r="C26" s="44">
        <v>0</v>
      </c>
      <c r="D26" s="44">
        <v>0</v>
      </c>
      <c r="E26" s="44">
        <v>0</v>
      </c>
      <c r="F26" s="44">
        <v>0</v>
      </c>
      <c r="G26" s="44">
        <v>0</v>
      </c>
      <c r="H26" s="44">
        <v>0</v>
      </c>
      <c r="I26" s="44">
        <v>0</v>
      </c>
      <c r="J26" s="44">
        <v>0</v>
      </c>
      <c r="K26" s="44">
        <v>0</v>
      </c>
      <c r="L26" s="44">
        <v>0</v>
      </c>
      <c r="M26" s="44">
        <v>0</v>
      </c>
      <c r="N26" s="157">
        <v>0</v>
      </c>
      <c r="O26" s="44">
        <v>0</v>
      </c>
      <c r="P26" s="122"/>
      <c r="Q26" s="122"/>
      <c r="R26" s="122"/>
      <c r="S26" s="122"/>
      <c r="T26" s="122"/>
      <c r="U26" s="122"/>
      <c r="V26"/>
      <c r="W26"/>
      <c r="X26"/>
      <c r="Y26"/>
    </row>
    <row r="27" spans="1:25" hidden="1">
      <c r="A27" s="48" t="s">
        <v>383</v>
      </c>
      <c r="B27" s="8" t="s">
        <v>384</v>
      </c>
      <c r="C27" s="44">
        <v>0</v>
      </c>
      <c r="D27" s="44">
        <v>0</v>
      </c>
      <c r="E27" s="44">
        <v>0</v>
      </c>
      <c r="F27" s="44">
        <v>0</v>
      </c>
      <c r="G27" s="44">
        <v>0</v>
      </c>
      <c r="H27" s="44">
        <v>0</v>
      </c>
      <c r="I27" s="44">
        <v>0</v>
      </c>
      <c r="J27" s="44">
        <v>0</v>
      </c>
      <c r="K27" s="44">
        <v>0</v>
      </c>
      <c r="L27" s="44">
        <v>0</v>
      </c>
      <c r="M27" s="44">
        <v>0</v>
      </c>
      <c r="N27" s="157">
        <v>0</v>
      </c>
      <c r="O27" s="44">
        <v>0</v>
      </c>
      <c r="P27" s="122"/>
      <c r="Q27" s="122"/>
      <c r="R27" s="122"/>
      <c r="S27" s="122"/>
      <c r="T27" s="122"/>
      <c r="U27" s="122"/>
      <c r="V27"/>
      <c r="W27"/>
      <c r="X27"/>
      <c r="Y27"/>
    </row>
    <row r="28" spans="1:25" hidden="1">
      <c r="A28" s="48" t="s">
        <v>385</v>
      </c>
      <c r="B28" s="8" t="s">
        <v>386</v>
      </c>
      <c r="C28" s="44">
        <v>0</v>
      </c>
      <c r="D28" s="44">
        <v>0</v>
      </c>
      <c r="E28" s="44">
        <v>0</v>
      </c>
      <c r="F28" s="44">
        <v>0</v>
      </c>
      <c r="G28" s="44">
        <v>0</v>
      </c>
      <c r="H28" s="44">
        <v>0</v>
      </c>
      <c r="I28" s="44">
        <v>0</v>
      </c>
      <c r="J28" s="44">
        <v>0</v>
      </c>
      <c r="K28" s="44">
        <v>0</v>
      </c>
      <c r="L28" s="44">
        <v>0</v>
      </c>
      <c r="M28" s="44">
        <v>0</v>
      </c>
      <c r="N28" s="157">
        <v>0</v>
      </c>
      <c r="O28" s="44">
        <v>0</v>
      </c>
      <c r="P28" s="122"/>
      <c r="Q28" s="122"/>
      <c r="R28" s="122"/>
      <c r="S28" s="122"/>
      <c r="T28" s="122"/>
      <c r="U28" s="122"/>
      <c r="V28"/>
      <c r="W28"/>
      <c r="X28"/>
      <c r="Y28"/>
    </row>
    <row r="29" spans="1:25">
      <c r="A29" s="48" t="s">
        <v>371</v>
      </c>
      <c r="B29" s="8" t="s">
        <v>387</v>
      </c>
      <c r="C29" s="44">
        <v>0</v>
      </c>
      <c r="D29" s="44">
        <v>0</v>
      </c>
      <c r="E29" s="44">
        <v>1500</v>
      </c>
      <c r="F29" s="44">
        <v>4402.41</v>
      </c>
      <c r="G29" s="44">
        <v>2000</v>
      </c>
      <c r="H29" s="44">
        <v>2735.1</v>
      </c>
      <c r="I29" s="44">
        <v>2000</v>
      </c>
      <c r="J29" s="44">
        <v>1507.25</v>
      </c>
      <c r="K29" s="44">
        <v>1000</v>
      </c>
      <c r="L29" s="44">
        <v>1314.49</v>
      </c>
      <c r="M29" s="44">
        <v>1000</v>
      </c>
      <c r="N29" s="157">
        <v>999.62</v>
      </c>
      <c r="O29" s="44">
        <v>1000</v>
      </c>
      <c r="P29" s="122">
        <v>801.64</v>
      </c>
      <c r="Q29" s="122">
        <v>800</v>
      </c>
      <c r="R29" s="122">
        <v>795.91</v>
      </c>
      <c r="S29" s="122">
        <v>800</v>
      </c>
      <c r="T29" s="122">
        <v>500</v>
      </c>
      <c r="U29" s="122"/>
      <c r="V29"/>
      <c r="W29"/>
      <c r="X29"/>
      <c r="Y29"/>
    </row>
    <row r="30" spans="1:25" hidden="1">
      <c r="A30" s="48" t="s">
        <v>388</v>
      </c>
      <c r="B30" s="8" t="s">
        <v>389</v>
      </c>
      <c r="C30" s="44">
        <v>0</v>
      </c>
      <c r="D30" s="44">
        <v>0</v>
      </c>
      <c r="E30" s="44">
        <v>0</v>
      </c>
      <c r="F30" s="44">
        <v>0</v>
      </c>
      <c r="G30" s="44">
        <v>0</v>
      </c>
      <c r="H30" s="44">
        <v>0</v>
      </c>
      <c r="I30" s="44">
        <v>0</v>
      </c>
      <c r="J30" s="44">
        <v>0</v>
      </c>
      <c r="K30" s="44">
        <v>0</v>
      </c>
      <c r="L30" s="44">
        <v>0</v>
      </c>
      <c r="M30" s="44">
        <v>0</v>
      </c>
      <c r="N30" s="157">
        <v>0</v>
      </c>
      <c r="O30" s="44">
        <v>0</v>
      </c>
      <c r="P30" s="122"/>
      <c r="Q30" s="122"/>
      <c r="R30" s="122"/>
      <c r="S30" s="122"/>
      <c r="T30" s="122"/>
      <c r="U30" s="122"/>
      <c r="V30"/>
      <c r="W30"/>
      <c r="X30"/>
      <c r="Y30"/>
    </row>
    <row r="31" spans="1:25" hidden="1">
      <c r="A31" s="48" t="s">
        <v>390</v>
      </c>
      <c r="B31" s="8" t="s">
        <v>391</v>
      </c>
      <c r="C31" s="44">
        <v>230</v>
      </c>
      <c r="D31" s="44">
        <v>95.31</v>
      </c>
      <c r="E31" s="44">
        <v>550</v>
      </c>
      <c r="F31" s="44">
        <v>471.06</v>
      </c>
      <c r="G31" s="44">
        <v>375</v>
      </c>
      <c r="H31" s="44">
        <v>237.26</v>
      </c>
      <c r="I31" s="44">
        <v>0</v>
      </c>
      <c r="J31" s="44">
        <v>0</v>
      </c>
      <c r="K31" s="44">
        <v>0</v>
      </c>
      <c r="L31" s="44">
        <v>0</v>
      </c>
      <c r="M31" s="44">
        <v>0</v>
      </c>
      <c r="N31" s="157">
        <v>0</v>
      </c>
      <c r="O31" s="44">
        <v>0</v>
      </c>
      <c r="P31" s="122"/>
      <c r="Q31" s="122"/>
      <c r="R31" s="122"/>
      <c r="S31" s="122"/>
      <c r="T31" s="122"/>
      <c r="U31" s="122"/>
      <c r="V31"/>
      <c r="W31"/>
      <c r="X31"/>
      <c r="Y31"/>
    </row>
    <row r="32" spans="1:25" hidden="1">
      <c r="A32" s="48" t="s">
        <v>392</v>
      </c>
      <c r="B32" s="8" t="s">
        <v>393</v>
      </c>
      <c r="C32" s="44">
        <v>520</v>
      </c>
      <c r="D32" s="44">
        <v>569.48</v>
      </c>
      <c r="E32" s="44">
        <v>700</v>
      </c>
      <c r="F32" s="44">
        <v>979.74</v>
      </c>
      <c r="G32" s="44">
        <v>810</v>
      </c>
      <c r="H32" s="44">
        <v>120.27</v>
      </c>
      <c r="I32" s="44">
        <v>0</v>
      </c>
      <c r="J32" s="44">
        <v>-22.04</v>
      </c>
      <c r="K32" s="44">
        <v>0</v>
      </c>
      <c r="L32" s="44">
        <v>0</v>
      </c>
      <c r="M32" s="44">
        <v>0</v>
      </c>
      <c r="N32" s="157">
        <v>0</v>
      </c>
      <c r="O32" s="44">
        <v>0</v>
      </c>
      <c r="P32" s="122"/>
      <c r="Q32" s="122"/>
      <c r="R32" s="122"/>
      <c r="S32" s="122"/>
      <c r="T32" s="122"/>
      <c r="U32" s="122"/>
      <c r="V32"/>
      <c r="W32"/>
      <c r="X32"/>
      <c r="Y32"/>
    </row>
    <row r="33" spans="1:25" hidden="1">
      <c r="A33" s="48" t="s">
        <v>394</v>
      </c>
      <c r="B33" s="8" t="s">
        <v>395</v>
      </c>
      <c r="C33" s="44">
        <v>180</v>
      </c>
      <c r="D33" s="44">
        <v>221.22</v>
      </c>
      <c r="E33" s="44">
        <v>605</v>
      </c>
      <c r="F33" s="44">
        <v>186.11</v>
      </c>
      <c r="G33" s="44">
        <v>1000</v>
      </c>
      <c r="H33" s="44">
        <v>64.05</v>
      </c>
      <c r="I33" s="44">
        <v>0</v>
      </c>
      <c r="J33" s="44">
        <v>0</v>
      </c>
      <c r="K33" s="44">
        <v>0</v>
      </c>
      <c r="L33" s="44">
        <v>0</v>
      </c>
      <c r="M33" s="44">
        <v>0</v>
      </c>
      <c r="N33" s="157">
        <v>0</v>
      </c>
      <c r="O33" s="44">
        <v>0</v>
      </c>
      <c r="P33" s="122"/>
      <c r="Q33" s="122"/>
      <c r="R33" s="122"/>
      <c r="S33" s="122"/>
      <c r="T33" s="122"/>
      <c r="U33" s="122"/>
      <c r="V33"/>
      <c r="W33"/>
      <c r="X33"/>
      <c r="Y33"/>
    </row>
    <row r="34" spans="1:25" hidden="1">
      <c r="A34" s="48" t="s">
        <v>396</v>
      </c>
      <c r="B34" s="8" t="s">
        <v>397</v>
      </c>
      <c r="C34" s="44">
        <v>0</v>
      </c>
      <c r="D34" s="44">
        <v>0</v>
      </c>
      <c r="E34" s="44">
        <v>600</v>
      </c>
      <c r="F34" s="44">
        <v>421.46</v>
      </c>
      <c r="G34" s="44">
        <v>1500</v>
      </c>
      <c r="H34" s="44">
        <v>2539.5500000000002</v>
      </c>
      <c r="I34" s="44">
        <v>500</v>
      </c>
      <c r="J34" s="44">
        <v>39.43</v>
      </c>
      <c r="K34" s="44">
        <v>0</v>
      </c>
      <c r="L34" s="44">
        <v>0</v>
      </c>
      <c r="M34" s="44">
        <v>500</v>
      </c>
      <c r="N34" s="157">
        <v>0</v>
      </c>
      <c r="O34" s="44">
        <v>0</v>
      </c>
      <c r="P34" s="44"/>
      <c r="Q34" s="44"/>
      <c r="R34" s="44"/>
      <c r="S34" s="44"/>
      <c r="T34" s="44"/>
      <c r="U34" s="44"/>
    </row>
    <row r="35" spans="1:25" hidden="1">
      <c r="A35" s="48" t="s">
        <v>398</v>
      </c>
      <c r="B35" s="8" t="s">
        <v>399</v>
      </c>
      <c r="C35" s="44">
        <v>350</v>
      </c>
      <c r="D35" s="44">
        <v>335.64</v>
      </c>
      <c r="E35" s="44">
        <v>1180</v>
      </c>
      <c r="F35" s="44">
        <v>603.39</v>
      </c>
      <c r="G35" s="44">
        <v>750</v>
      </c>
      <c r="H35" s="44">
        <v>181.54</v>
      </c>
      <c r="I35" s="44">
        <v>0</v>
      </c>
      <c r="J35" s="44">
        <v>0</v>
      </c>
      <c r="K35" s="44">
        <v>0</v>
      </c>
      <c r="L35" s="44">
        <v>0</v>
      </c>
      <c r="M35" s="44">
        <v>0</v>
      </c>
      <c r="N35" s="157">
        <v>0</v>
      </c>
      <c r="O35" s="44">
        <v>0</v>
      </c>
      <c r="P35" s="44"/>
      <c r="Q35" s="44"/>
      <c r="R35" s="44"/>
      <c r="S35" s="44"/>
      <c r="T35" s="44"/>
      <c r="U35" s="44"/>
    </row>
    <row r="36" spans="1:25" hidden="1">
      <c r="A36" s="48" t="s">
        <v>400</v>
      </c>
      <c r="B36" s="8" t="s">
        <v>401</v>
      </c>
      <c r="C36" s="44">
        <v>0</v>
      </c>
      <c r="D36" s="44">
        <v>0</v>
      </c>
      <c r="E36" s="44">
        <v>0</v>
      </c>
      <c r="F36" s="44">
        <v>0</v>
      </c>
      <c r="G36" s="44">
        <v>0</v>
      </c>
      <c r="H36" s="44">
        <v>0</v>
      </c>
      <c r="I36" s="44">
        <v>0</v>
      </c>
      <c r="J36" s="44">
        <v>0</v>
      </c>
      <c r="K36" s="44">
        <v>0</v>
      </c>
      <c r="L36" s="44">
        <v>0</v>
      </c>
      <c r="M36" s="44">
        <v>0</v>
      </c>
      <c r="N36" s="157">
        <v>0</v>
      </c>
      <c r="O36" s="44">
        <v>0</v>
      </c>
      <c r="P36" s="44"/>
      <c r="Q36" s="44"/>
      <c r="R36" s="44"/>
      <c r="S36" s="44"/>
      <c r="T36" s="44"/>
      <c r="U36" s="44"/>
    </row>
    <row r="37" spans="1:25" hidden="1">
      <c r="A37" s="48" t="s">
        <v>402</v>
      </c>
      <c r="B37" s="8" t="s">
        <v>403</v>
      </c>
      <c r="C37" s="44">
        <v>0</v>
      </c>
      <c r="D37" s="44">
        <v>0</v>
      </c>
      <c r="E37" s="44">
        <v>0</v>
      </c>
      <c r="F37" s="44">
        <v>0</v>
      </c>
      <c r="G37" s="44">
        <v>0</v>
      </c>
      <c r="H37" s="44">
        <v>0</v>
      </c>
      <c r="I37" s="44">
        <v>0</v>
      </c>
      <c r="J37" s="44">
        <v>0</v>
      </c>
      <c r="K37" s="44">
        <v>0</v>
      </c>
      <c r="L37" s="44">
        <v>0</v>
      </c>
      <c r="M37" s="44">
        <v>0</v>
      </c>
      <c r="N37" s="157">
        <v>0</v>
      </c>
      <c r="O37" s="44">
        <v>0</v>
      </c>
      <c r="P37" s="44"/>
      <c r="Q37" s="44"/>
      <c r="R37" s="44"/>
      <c r="S37" s="44"/>
      <c r="T37" s="44"/>
      <c r="U37" s="44"/>
    </row>
    <row r="38" spans="1:25" hidden="1">
      <c r="A38" s="48" t="s">
        <v>404</v>
      </c>
      <c r="B38" s="8" t="s">
        <v>405</v>
      </c>
      <c r="C38" s="44">
        <v>730</v>
      </c>
      <c r="D38" s="44">
        <v>1201.45</v>
      </c>
      <c r="E38" s="44">
        <v>1120</v>
      </c>
      <c r="F38" s="44">
        <v>804.92</v>
      </c>
      <c r="G38" s="44">
        <v>350</v>
      </c>
      <c r="H38" s="44">
        <v>214.59</v>
      </c>
      <c r="I38" s="44">
        <v>0</v>
      </c>
      <c r="J38" s="44">
        <v>0</v>
      </c>
      <c r="K38" s="44">
        <v>0</v>
      </c>
      <c r="L38" s="44">
        <v>0</v>
      </c>
      <c r="M38" s="44">
        <v>0</v>
      </c>
      <c r="N38" s="157">
        <v>0</v>
      </c>
      <c r="O38" s="44">
        <v>0</v>
      </c>
      <c r="P38" s="44"/>
      <c r="Q38" s="44"/>
      <c r="R38" s="44"/>
      <c r="S38" s="44"/>
      <c r="T38" s="44"/>
      <c r="U38" s="44"/>
    </row>
    <row r="39" spans="1:25" hidden="1">
      <c r="A39" s="48" t="s">
        <v>406</v>
      </c>
      <c r="B39" s="8" t="s">
        <v>407</v>
      </c>
      <c r="C39" s="44">
        <v>0</v>
      </c>
      <c r="D39" s="44">
        <v>-37</v>
      </c>
      <c r="E39" s="44">
        <v>0</v>
      </c>
      <c r="F39" s="44">
        <v>0</v>
      </c>
      <c r="G39" s="44">
        <v>0</v>
      </c>
      <c r="H39" s="44">
        <v>0</v>
      </c>
      <c r="I39" s="44">
        <v>0</v>
      </c>
      <c r="J39" s="44">
        <v>0</v>
      </c>
      <c r="K39" s="44">
        <v>0</v>
      </c>
      <c r="L39" s="44">
        <v>0</v>
      </c>
      <c r="M39" s="44">
        <v>0</v>
      </c>
      <c r="N39" s="157">
        <v>0</v>
      </c>
      <c r="O39" s="44">
        <v>0</v>
      </c>
      <c r="P39" s="44"/>
      <c r="Q39" s="44"/>
      <c r="R39" s="44"/>
      <c r="S39" s="44"/>
      <c r="T39" s="44"/>
      <c r="U39" s="44"/>
    </row>
    <row r="40" spans="1:25" hidden="1">
      <c r="B40" s="8" t="s">
        <v>316</v>
      </c>
      <c r="C40" s="44">
        <v>0</v>
      </c>
      <c r="D40" s="44">
        <v>0</v>
      </c>
      <c r="E40" s="44">
        <v>0</v>
      </c>
      <c r="F40" s="44">
        <v>0</v>
      </c>
      <c r="G40" s="44">
        <v>0</v>
      </c>
      <c r="H40" s="44">
        <v>0</v>
      </c>
      <c r="I40" s="44">
        <v>400</v>
      </c>
      <c r="J40" s="44">
        <v>0</v>
      </c>
      <c r="K40" s="44">
        <v>0</v>
      </c>
      <c r="L40" s="44">
        <v>0</v>
      </c>
      <c r="M40" s="44">
        <v>0</v>
      </c>
      <c r="N40" s="157">
        <v>0</v>
      </c>
      <c r="O40" s="44">
        <v>0</v>
      </c>
      <c r="P40" s="44"/>
      <c r="Q40" s="44"/>
      <c r="R40" s="44"/>
      <c r="S40" s="44"/>
      <c r="T40" s="44"/>
      <c r="U40" s="44"/>
    </row>
    <row r="41" spans="1:25" hidden="1">
      <c r="B41" s="8" t="s">
        <v>408</v>
      </c>
      <c r="C41" s="44">
        <v>0</v>
      </c>
      <c r="D41" s="44">
        <v>0</v>
      </c>
      <c r="E41" s="44">
        <v>0</v>
      </c>
      <c r="F41" s="44">
        <v>0</v>
      </c>
      <c r="G41" s="44">
        <v>0</v>
      </c>
      <c r="H41" s="44">
        <v>0</v>
      </c>
      <c r="I41" s="44">
        <v>533</v>
      </c>
      <c r="J41" s="44">
        <v>1626.05</v>
      </c>
      <c r="K41" s="44">
        <v>0</v>
      </c>
      <c r="L41" s="44">
        <v>0</v>
      </c>
      <c r="M41" s="44">
        <v>0</v>
      </c>
      <c r="N41" s="157">
        <v>0</v>
      </c>
      <c r="O41" s="44">
        <v>0</v>
      </c>
      <c r="P41" s="44"/>
      <c r="Q41" s="44"/>
      <c r="R41" s="44"/>
      <c r="S41" s="44"/>
      <c r="T41" s="44"/>
      <c r="U41" s="44"/>
    </row>
    <row r="42" spans="1:25" hidden="1">
      <c r="B42" s="8" t="s">
        <v>409</v>
      </c>
      <c r="C42" s="44">
        <v>0</v>
      </c>
      <c r="D42" s="44">
        <v>0</v>
      </c>
      <c r="E42" s="44">
        <v>0</v>
      </c>
      <c r="F42" s="44">
        <v>0</v>
      </c>
      <c r="G42" s="44">
        <v>0</v>
      </c>
      <c r="H42" s="44">
        <v>0</v>
      </c>
      <c r="I42" s="44">
        <v>533</v>
      </c>
      <c r="J42" s="44">
        <v>85.79</v>
      </c>
      <c r="K42" s="44">
        <v>0</v>
      </c>
      <c r="L42" s="44">
        <v>0</v>
      </c>
      <c r="M42" s="44">
        <v>0</v>
      </c>
      <c r="N42" s="157">
        <v>0</v>
      </c>
      <c r="O42" s="44">
        <v>0</v>
      </c>
      <c r="P42" s="44"/>
      <c r="Q42" s="44"/>
      <c r="R42" s="44"/>
      <c r="S42" s="44"/>
      <c r="T42" s="44"/>
      <c r="U42" s="44"/>
    </row>
    <row r="43" spans="1:25" hidden="1">
      <c r="B43" s="8" t="s">
        <v>410</v>
      </c>
      <c r="C43" s="44">
        <v>0</v>
      </c>
      <c r="D43" s="44">
        <v>0</v>
      </c>
      <c r="E43" s="44">
        <v>0</v>
      </c>
      <c r="F43" s="44">
        <v>0</v>
      </c>
      <c r="G43" s="44">
        <v>0</v>
      </c>
      <c r="H43" s="44">
        <v>0</v>
      </c>
      <c r="I43" s="44">
        <v>533</v>
      </c>
      <c r="J43" s="44">
        <v>0</v>
      </c>
      <c r="K43" s="44">
        <v>0</v>
      </c>
      <c r="L43" s="44">
        <v>0</v>
      </c>
      <c r="M43" s="44">
        <v>0</v>
      </c>
      <c r="N43" s="157">
        <v>0</v>
      </c>
      <c r="O43" s="44">
        <v>0</v>
      </c>
      <c r="P43" s="44"/>
      <c r="Q43" s="44"/>
      <c r="R43" s="44"/>
      <c r="S43" s="44"/>
      <c r="T43" s="44"/>
      <c r="U43" s="44"/>
    </row>
    <row r="44" spans="1:25" ht="13.5" customHeight="1">
      <c r="A44" s="49" t="s">
        <v>371</v>
      </c>
      <c r="B44" s="8" t="s">
        <v>411</v>
      </c>
      <c r="C44" s="44">
        <v>0</v>
      </c>
      <c r="D44" s="44">
        <v>0</v>
      </c>
      <c r="E44" s="44">
        <v>0</v>
      </c>
      <c r="F44" s="44">
        <v>0</v>
      </c>
      <c r="G44" s="44">
        <v>0</v>
      </c>
      <c r="H44" s="44">
        <v>0</v>
      </c>
      <c r="I44" s="44">
        <v>300</v>
      </c>
      <c r="J44" s="44">
        <v>114.83</v>
      </c>
      <c r="K44" s="44">
        <v>300</v>
      </c>
      <c r="L44" s="44">
        <v>65.040000000000006</v>
      </c>
      <c r="M44" s="44">
        <v>150</v>
      </c>
      <c r="N44" s="157">
        <v>103.64</v>
      </c>
      <c r="O44" s="44">
        <v>150</v>
      </c>
      <c r="P44" s="44">
        <v>57.6</v>
      </c>
      <c r="Q44" s="44">
        <v>150</v>
      </c>
      <c r="R44" s="44"/>
      <c r="S44" s="44">
        <v>150</v>
      </c>
      <c r="T44" s="44">
        <v>100</v>
      </c>
      <c r="U44" s="44"/>
    </row>
    <row r="45" spans="1:25">
      <c r="A45" s="49" t="s">
        <v>371</v>
      </c>
      <c r="B45" s="8" t="s">
        <v>412</v>
      </c>
      <c r="C45" s="44">
        <v>0</v>
      </c>
      <c r="D45" s="44">
        <v>0</v>
      </c>
      <c r="E45" s="44">
        <v>0</v>
      </c>
      <c r="F45" s="44">
        <v>0</v>
      </c>
      <c r="G45" s="44">
        <v>0</v>
      </c>
      <c r="H45" s="44">
        <v>0</v>
      </c>
      <c r="I45" s="44">
        <v>1000</v>
      </c>
      <c r="J45" s="44">
        <v>0</v>
      </c>
      <c r="K45" s="44">
        <v>750</v>
      </c>
      <c r="L45" s="44">
        <v>543.47</v>
      </c>
      <c r="M45" s="44">
        <v>650</v>
      </c>
      <c r="N45" s="157">
        <v>562.66</v>
      </c>
      <c r="O45" s="44">
        <v>650</v>
      </c>
      <c r="P45" s="44">
        <v>575.25</v>
      </c>
      <c r="Q45" s="44">
        <v>650</v>
      </c>
      <c r="R45" s="44">
        <v>284.22000000000003</v>
      </c>
      <c r="S45" s="44">
        <v>450</v>
      </c>
      <c r="T45" s="44"/>
      <c r="U45" s="44"/>
    </row>
    <row r="46" spans="1:25">
      <c r="A46" s="49" t="s">
        <v>371</v>
      </c>
      <c r="B46" s="8" t="s">
        <v>413</v>
      </c>
      <c r="C46" s="44">
        <v>0</v>
      </c>
      <c r="D46" s="44">
        <v>0</v>
      </c>
      <c r="E46" s="44">
        <v>0</v>
      </c>
      <c r="F46" s="44"/>
      <c r="G46" s="44">
        <v>0</v>
      </c>
      <c r="H46" s="44">
        <v>0</v>
      </c>
      <c r="I46" s="44"/>
      <c r="J46" s="44"/>
      <c r="K46" s="44">
        <v>750</v>
      </c>
      <c r="L46" s="44">
        <v>837.37</v>
      </c>
      <c r="M46" s="44">
        <v>750</v>
      </c>
      <c r="N46" s="157">
        <v>808.24</v>
      </c>
      <c r="O46" s="44">
        <v>750</v>
      </c>
      <c r="P46" s="44">
        <v>725.25</v>
      </c>
      <c r="Q46" s="44">
        <v>800</v>
      </c>
      <c r="R46" s="44">
        <v>755.43</v>
      </c>
      <c r="S46" s="44">
        <v>900</v>
      </c>
      <c r="T46" s="44">
        <v>500</v>
      </c>
      <c r="U46" s="44"/>
    </row>
    <row r="47" spans="1:25">
      <c r="A47" s="49" t="s">
        <v>371</v>
      </c>
      <c r="B47" s="8" t="s">
        <v>414</v>
      </c>
      <c r="C47" s="44">
        <v>0</v>
      </c>
      <c r="D47" s="44">
        <v>0</v>
      </c>
      <c r="E47" s="44">
        <v>0</v>
      </c>
      <c r="F47" s="44">
        <v>0</v>
      </c>
      <c r="G47" s="44">
        <v>0</v>
      </c>
      <c r="H47" s="44">
        <v>0</v>
      </c>
      <c r="I47" s="44">
        <v>750</v>
      </c>
      <c r="J47" s="44">
        <v>0</v>
      </c>
      <c r="K47" s="44">
        <v>250</v>
      </c>
      <c r="L47" s="44">
        <v>247.91</v>
      </c>
      <c r="M47" s="44">
        <v>250</v>
      </c>
      <c r="N47" s="157">
        <v>241.8</v>
      </c>
      <c r="O47" s="44">
        <v>250</v>
      </c>
      <c r="P47" s="44">
        <v>234.55</v>
      </c>
      <c r="Q47" s="44">
        <v>200</v>
      </c>
      <c r="R47" s="44"/>
      <c r="S47" s="44">
        <v>200</v>
      </c>
      <c r="T47" s="44"/>
      <c r="U47" s="44"/>
    </row>
    <row r="48" spans="1:25">
      <c r="A48" s="49" t="s">
        <v>415</v>
      </c>
      <c r="B48" s="8" t="s">
        <v>87</v>
      </c>
      <c r="C48" s="44"/>
      <c r="D48" s="44"/>
      <c r="E48" s="44"/>
      <c r="F48" s="44"/>
      <c r="G48" s="44"/>
      <c r="H48" s="44"/>
      <c r="I48" s="44"/>
      <c r="J48" s="44"/>
      <c r="K48" s="44"/>
      <c r="L48" s="44"/>
      <c r="M48" s="44"/>
      <c r="N48" s="157">
        <v>521.19000000000005</v>
      </c>
      <c r="O48" s="44"/>
      <c r="P48" s="44">
        <v>1387.44</v>
      </c>
      <c r="Q48" s="44"/>
      <c r="R48" s="44">
        <v>1563.36</v>
      </c>
      <c r="S48" s="44">
        <v>260</v>
      </c>
      <c r="T48" s="44"/>
      <c r="U48" s="44"/>
    </row>
    <row r="49" spans="2:21">
      <c r="B49" s="8" t="s">
        <v>13</v>
      </c>
      <c r="C49" s="16">
        <f>SUBTOTAL(109,SCIExpenses[Budget 10/11])</f>
        <v>3000</v>
      </c>
      <c r="D49" s="16">
        <f>SUBTOTAL(109,SCIExpenses[Actual 10/11])</f>
        <v>3578.4699999999993</v>
      </c>
      <c r="E49" s="16">
        <f>SUBTOTAL(109,SCIExpenses[Budget 11/12])</f>
        <v>8710</v>
      </c>
      <c r="F49" s="16">
        <f>SUBTOTAL(109,SCIExpenses[Actual 11/12])</f>
        <v>11958</v>
      </c>
      <c r="G49" s="16">
        <f>SUBTOTAL(109,SCIExpenses[Budget 12/13])</f>
        <v>9370</v>
      </c>
      <c r="H49" s="16">
        <f>SUBTOTAL(109,SCIExpenses[Actual 12/13])</f>
        <v>8698.15</v>
      </c>
      <c r="I49" s="16">
        <f>SUBTOTAL(109,SCIExpenses[Budget 13/14])</f>
        <v>7220</v>
      </c>
      <c r="J49" s="16">
        <f>SUBTOTAL(109,SCIExpenses[Actual 13/14])</f>
        <v>6951.01</v>
      </c>
      <c r="K49" s="16">
        <f>SUBTOTAL(109,SCIExpenses[Budget 14/15])</f>
        <v>9812</v>
      </c>
      <c r="L49" s="16">
        <f>SUBTOTAL(109,SCIExpenses[Actual 14/15])</f>
        <v>12931.02</v>
      </c>
      <c r="M49" s="16">
        <f>SUBTOTAL(109,SCIExpenses[Budget 15/16])</f>
        <v>8300</v>
      </c>
      <c r="N49" s="140">
        <f>SUBTOTAL(109,SCIExpenses[Actual 15/16])</f>
        <v>9201.6999999999989</v>
      </c>
      <c r="O49" s="16">
        <f>SUBTOTAL(109,SCIExpenses[Budget 16/17])</f>
        <v>8550</v>
      </c>
      <c r="P49" s="16">
        <f>SUBTOTAL(109,SCIExpenses[Actual 16/17])</f>
        <v>9284.61</v>
      </c>
      <c r="Q49" s="16">
        <f>SUBTOTAL(109,SCIExpenses[Budget 17/18])</f>
        <v>8350</v>
      </c>
      <c r="R49" s="1">
        <f>SUBTOTAL(109,SCIExpenses[Actual 17/18])</f>
        <v>8948.7000000000007</v>
      </c>
      <c r="S49" s="1">
        <f>SUBTOTAL(109,SCIExpenses[Budget 18/19])</f>
        <v>8630</v>
      </c>
      <c r="T49" s="1">
        <f>SUBTOTAL(109,SCIExpenses[Budget 19/20])</f>
        <v>5800</v>
      </c>
      <c r="U49" s="1"/>
    </row>
    <row r="50" spans="2:21" ht="13.5" thickBot="1"/>
    <row r="51" spans="2:21" ht="19.5" thickBot="1">
      <c r="B51" s="452" t="s">
        <v>102</v>
      </c>
      <c r="C51" s="27">
        <f>SCIRevenues[[#Totals],[Budget 10/11]]-SCIExpenses[[#Totals],[Budget 10/11]]</f>
        <v>-3000</v>
      </c>
      <c r="D51" s="27">
        <f>SCIRevenues[[#Totals],[Actual 10/11]]-SCIExpenses[[#Totals],[Actual 10/11]]</f>
        <v>-3578.4699999999993</v>
      </c>
      <c r="E51" s="27">
        <f>SCIRevenues[[#Totals],[Budget 11/12]]-SCIExpenses[[#Totals],[Budget 11/12]]</f>
        <v>-8710</v>
      </c>
      <c r="F51" s="27">
        <f>SCIRevenues[[#Totals],[Actual 11/12]]-SCIExpenses[[#Totals],[Actual 11/12]]</f>
        <v>-9625.5299999999988</v>
      </c>
      <c r="G51" s="27">
        <f>SCIRevenues[[#Totals],[Budget 12/13]]-SCIExpenses[[#Totals],[Budget 12/13]]</f>
        <v>-9370</v>
      </c>
      <c r="H51" s="27">
        <f>SCIRevenues[[#Totals],[Actual 12/13]]-SCIExpenses[[#Totals],[Actual 12/13]]</f>
        <v>-7029.4</v>
      </c>
      <c r="I51" s="27">
        <f>SCIRevenues[[#Totals],[Budget 13/14]]-SCIExpenses[[#Totals],[Budget 13/14]]</f>
        <v>-7220</v>
      </c>
      <c r="J51" s="27">
        <f>SCIRevenues[[#Totals],[Actual 13/14]]-SCIExpenses[[#Totals],[Actual 13/14]]</f>
        <v>-4056.9600000000005</v>
      </c>
      <c r="K51" s="27">
        <f>SCIRevenues[[#Totals],[Budget 14/15]]-SCIExpenses[[#Totals],[Budget 14/15]]</f>
        <v>-9812</v>
      </c>
      <c r="L51" s="27">
        <f>SCIRevenues[[#Totals],[Actual 14/15]]-SCIExpenses[[#Totals],[Actual 14/15]]</f>
        <v>-8767.17</v>
      </c>
      <c r="M51" s="27">
        <f>SCIRevenues[[#Totals],[Budget 15/16]]-SCIExpenses[[#Totals],[Budget 15/16]]</f>
        <v>-8300</v>
      </c>
      <c r="N51" s="27">
        <f>SCIRevenues[[#Totals],[Actual 15/16]]-SCIExpenses[[#Totals],[Actual 15/16]]</f>
        <v>-8769.1999999999989</v>
      </c>
      <c r="O51" s="66">
        <f>SCIRevenues[[#Totals],[Budget 16/17]]-SCIExpenses[[#Totals],[Budget 16/17]]</f>
        <v>-8550</v>
      </c>
      <c r="P51" s="66">
        <f>SCIRevenues[[#Totals],[Actual 16/17]]-SCIExpenses[[#Totals],[Actual 16/17]]</f>
        <v>-5712.5700000000006</v>
      </c>
      <c r="Q51" s="66">
        <f>SCIRevenues[[#Totals],[Budget 17/18]]-SCIExpenses[[#Totals],[Budget 17/18]]</f>
        <v>-6850</v>
      </c>
      <c r="R51" s="66">
        <f>SCIRevenues[[#Totals],[Actual 17/18]]-SCIExpenses[[#Totals],[Actual 17/18]]</f>
        <v>-4989.0500000000011</v>
      </c>
      <c r="S51" s="66">
        <f>SCIRevenues[[#Totals],[Budget 18/19]]-SCIExpenses[[#Totals],[Budget 18/19]]</f>
        <v>-5630</v>
      </c>
      <c r="T51" s="66">
        <f>SCIRevenues[[#Totals],[Budget 19/20]]-SCIExpenses[[#Totals],[Budget 19/20]]</f>
        <v>-4800</v>
      </c>
      <c r="U51" s="66"/>
    </row>
  </sheetData>
  <customSheetViews>
    <customSheetView guid="{DC934874-AE9C-4DF4-8DA8-4394DABABB42}" showRuler="0">
      <selection activeCell="E32" sqref="E32"/>
      <pageMargins left="0" right="0" top="0" bottom="0" header="0" footer="0"/>
      <pageSetup orientation="portrait"/>
      <headerFooter alignWithMargins="0"/>
    </customSheetView>
    <customSheetView guid="{7FD89B2E-4983-4B8D-ABA2-A07F685A0C6E}" showRuler="0">
      <selection activeCell="F14" sqref="F14"/>
      <pageMargins left="0" right="0" top="0" bottom="0" header="0" footer="0"/>
      <pageSetup orientation="portrait"/>
      <headerFooter alignWithMargins="0"/>
    </customSheetView>
    <customSheetView guid="{84D8AC11-A493-4338-8044-6F4154C29695}" showRuler="0">
      <selection activeCell="G21" sqref="G21"/>
      <pageMargins left="0" right="0" top="0" bottom="0" header="0" footer="0"/>
      <pageSetup orientation="portrait"/>
      <headerFooter alignWithMargins="0"/>
    </customSheetView>
    <customSheetView guid="{BB157E55-0A2E-4D9F-A3BF-E83E5442FC27}" showPageBreaks="1" showRuler="0">
      <selection activeCell="A15" sqref="A15"/>
      <pageMargins left="0" right="0" top="0" bottom="0" header="0" footer="0"/>
      <pageSetup orientation="portrait"/>
      <headerFooter alignWithMargins="0"/>
    </customSheetView>
  </customSheetViews>
  <mergeCells count="1">
    <mergeCell ref="A1:B1"/>
  </mergeCells>
  <phoneticPr fontId="0" type="noConversion"/>
  <pageMargins left="0" right="0" top="0.98425196850393704" bottom="0.98425196850393704" header="0.51181102362204722" footer="0.51181102362204722"/>
  <pageSetup orientation="landscape" blackAndWhite="1" r:id="rId1"/>
  <headerFooter alignWithMargins="0"/>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
  <sheetViews>
    <sheetView showGridLines="0" zoomScaleNormal="100" workbookViewId="0">
      <selection activeCell="A9" sqref="A1:XFD1048576"/>
    </sheetView>
  </sheetViews>
  <sheetFormatPr defaultColWidth="11.42578125" defaultRowHeight="12.75"/>
  <sheetData/>
  <customSheetViews>
    <customSheetView guid="{DC934874-AE9C-4DF4-8DA8-4394DABABB42}" showRuler="0" topLeftCell="A4">
      <selection activeCell="E29" sqref="E29:E30"/>
      <pageMargins left="0" right="0" top="0" bottom="0" header="0" footer="0"/>
      <pageSetup paperSize="3" orientation="landscape"/>
      <headerFooter alignWithMargins="0"/>
    </customSheetView>
    <customSheetView guid="{7FD89B2E-4983-4B8D-ABA2-A07F685A0C6E}" showRuler="0" topLeftCell="A7">
      <selection activeCell="E28" sqref="E28"/>
      <pageMargins left="0" right="0" top="0" bottom="0" header="0" footer="0"/>
      <pageSetup paperSize="3" orientation="landscape"/>
      <headerFooter alignWithMargins="0"/>
    </customSheetView>
    <customSheetView guid="{84D8AC11-A493-4338-8044-6F4154C29695}" showRuler="0">
      <selection activeCell="F20" sqref="F20"/>
      <pageMargins left="0" right="0" top="0" bottom="0" header="0" footer="0"/>
      <pageSetup paperSize="3" orientation="landscape"/>
      <headerFooter alignWithMargins="0"/>
    </customSheetView>
    <customSheetView guid="{BB157E55-0A2E-4D9F-A3BF-E83E5442FC27}" showPageBreaks="1" showRuler="0" topLeftCell="C4">
      <selection activeCell="I19" sqref="I19"/>
      <pageMargins left="0" right="0" top="0" bottom="0" header="0" footer="0"/>
      <pageSetup paperSize="3" orientation="landscape"/>
      <headerFooter alignWithMargins="0"/>
    </customSheetView>
  </customSheetViews>
  <phoneticPr fontId="0" type="noConversion"/>
  <pageMargins left="0" right="0" top="0.98425196850393704" bottom="0.98425196850393704" header="0.51181102362204722" footer="0.51181102362204722"/>
  <pageSetup paperSize="5" scale="87" orientation="landscape"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tabColor theme="1"/>
    <pageSetUpPr fitToPage="1"/>
  </sheetPr>
  <dimension ref="A1:U42"/>
  <sheetViews>
    <sheetView showGridLines="0" zoomScale="90" zoomScaleNormal="90" workbookViewId="0">
      <selection activeCell="U52" sqref="U52"/>
    </sheetView>
  </sheetViews>
  <sheetFormatPr defaultColWidth="11.42578125" defaultRowHeight="12.75"/>
  <cols>
    <col min="1" max="1" width="13.85546875" style="8" customWidth="1"/>
    <col min="2" max="2" width="21.42578125" style="8" customWidth="1"/>
    <col min="3" max="13" width="16.85546875" style="8" hidden="1" customWidth="1"/>
    <col min="14" max="14" width="16" style="138" hidden="1" customWidth="1"/>
    <col min="15" max="15" width="14.5703125" style="8" hidden="1" customWidth="1"/>
    <col min="16" max="16" width="14.7109375" style="8" hidden="1" customWidth="1"/>
    <col min="17" max="17" width="15.5703125" style="8" customWidth="1"/>
    <col min="18" max="18" width="16.7109375" style="8" customWidth="1"/>
    <col min="19" max="19" width="15.5703125" style="8" customWidth="1"/>
    <col min="20" max="20" width="15.28515625" style="8" customWidth="1"/>
    <col min="21" max="21" width="16" style="8" bestFit="1" customWidth="1"/>
    <col min="22" max="16384" width="11.42578125" style="8"/>
  </cols>
  <sheetData>
    <row r="1" spans="1:21" ht="18">
      <c r="A1" s="534" t="s">
        <v>416</v>
      </c>
      <c r="B1" s="534"/>
      <c r="C1" s="534"/>
    </row>
    <row r="2" spans="1:21">
      <c r="A2" s="28" t="s">
        <v>186</v>
      </c>
    </row>
    <row r="3" spans="1:21">
      <c r="A3" s="545"/>
      <c r="B3" s="545"/>
    </row>
    <row r="5" spans="1:21">
      <c r="A5" s="48" t="s">
        <v>107</v>
      </c>
      <c r="B5" s="8" t="s">
        <v>47</v>
      </c>
      <c r="C5" s="8" t="s">
        <v>48</v>
      </c>
      <c r="D5" s="8" t="s">
        <v>49</v>
      </c>
      <c r="E5" s="8" t="s">
        <v>50</v>
      </c>
      <c r="F5" s="8" t="s">
        <v>51</v>
      </c>
      <c r="G5" s="8" t="s">
        <v>52</v>
      </c>
      <c r="H5" s="8" t="s">
        <v>53</v>
      </c>
      <c r="I5" s="8" t="s">
        <v>54</v>
      </c>
      <c r="J5" s="8" t="s">
        <v>55</v>
      </c>
      <c r="K5" s="8" t="s">
        <v>56</v>
      </c>
      <c r="L5" s="8" t="s">
        <v>104</v>
      </c>
      <c r="M5" s="8" t="s">
        <v>29</v>
      </c>
      <c r="N5" s="124" t="s">
        <v>30</v>
      </c>
      <c r="O5" s="8" t="s">
        <v>31</v>
      </c>
      <c r="P5" s="8" t="s">
        <v>32</v>
      </c>
      <c r="Q5" s="8" t="s">
        <v>33</v>
      </c>
      <c r="R5" s="8" t="s">
        <v>34</v>
      </c>
      <c r="S5" s="8" t="s">
        <v>6</v>
      </c>
      <c r="T5" s="8" t="s">
        <v>8</v>
      </c>
      <c r="U5" s="8" t="s">
        <v>35</v>
      </c>
    </row>
    <row r="6" spans="1:21">
      <c r="A6" s="48" t="s">
        <v>417</v>
      </c>
      <c r="B6" s="8" t="s">
        <v>297</v>
      </c>
      <c r="C6" s="72">
        <v>0</v>
      </c>
      <c r="D6" s="72">
        <v>0</v>
      </c>
      <c r="E6" s="72">
        <v>0</v>
      </c>
      <c r="F6" s="72">
        <v>0</v>
      </c>
      <c r="G6" s="72">
        <v>0</v>
      </c>
      <c r="H6" s="72">
        <v>0</v>
      </c>
      <c r="I6" s="72">
        <v>0</v>
      </c>
      <c r="J6" s="72">
        <v>0</v>
      </c>
      <c r="K6" s="72">
        <v>0</v>
      </c>
      <c r="L6" s="72">
        <v>0</v>
      </c>
      <c r="M6" s="72">
        <v>0</v>
      </c>
      <c r="N6" s="161"/>
      <c r="O6" s="72">
        <v>0</v>
      </c>
      <c r="P6" s="72"/>
      <c r="Q6" s="72"/>
      <c r="R6" s="72"/>
      <c r="S6" s="72"/>
      <c r="T6" s="72"/>
      <c r="U6" s="72"/>
    </row>
    <row r="7" spans="1:21">
      <c r="A7" s="48" t="s">
        <v>418</v>
      </c>
      <c r="B7" s="8" t="s">
        <v>295</v>
      </c>
      <c r="C7" s="72">
        <v>0</v>
      </c>
      <c r="D7" s="72">
        <v>0</v>
      </c>
      <c r="E7" s="72">
        <v>0</v>
      </c>
      <c r="F7" s="72">
        <v>921</v>
      </c>
      <c r="G7" s="72">
        <v>0</v>
      </c>
      <c r="H7" s="72">
        <v>1206.82</v>
      </c>
      <c r="I7" s="72">
        <v>0</v>
      </c>
      <c r="J7" s="72">
        <v>688.27</v>
      </c>
      <c r="K7" s="72">
        <v>0</v>
      </c>
      <c r="L7" s="72">
        <v>2200.1</v>
      </c>
      <c r="M7" s="72">
        <v>0</v>
      </c>
      <c r="N7" s="161">
        <v>1353.8</v>
      </c>
      <c r="O7" s="72">
        <v>0</v>
      </c>
      <c r="P7" s="72">
        <v>1493.85</v>
      </c>
      <c r="Q7" s="72">
        <v>1200</v>
      </c>
      <c r="R7" s="72">
        <v>600</v>
      </c>
      <c r="S7" s="72">
        <v>600</v>
      </c>
      <c r="T7" s="72">
        <v>1000</v>
      </c>
      <c r="U7" s="72"/>
    </row>
    <row r="8" spans="1:21">
      <c r="A8" s="48" t="s">
        <v>419</v>
      </c>
      <c r="B8" s="8" t="s">
        <v>187</v>
      </c>
      <c r="C8" s="72">
        <v>0</v>
      </c>
      <c r="D8" s="72">
        <v>0</v>
      </c>
      <c r="E8" s="72">
        <v>0</v>
      </c>
      <c r="F8" s="72">
        <v>0</v>
      </c>
      <c r="G8" s="72">
        <v>0</v>
      </c>
      <c r="H8" s="72">
        <v>0</v>
      </c>
      <c r="I8" s="72">
        <v>0</v>
      </c>
      <c r="J8" s="72">
        <v>0</v>
      </c>
      <c r="K8" s="72">
        <v>0</v>
      </c>
      <c r="L8" s="72">
        <v>0</v>
      </c>
      <c r="M8" s="72">
        <v>0</v>
      </c>
      <c r="N8" s="161">
        <v>0</v>
      </c>
      <c r="O8" s="72">
        <v>0</v>
      </c>
      <c r="P8" s="72"/>
      <c r="Q8" s="72"/>
      <c r="R8" s="72"/>
      <c r="S8" s="72"/>
      <c r="T8" s="72"/>
      <c r="U8" s="72"/>
    </row>
    <row r="9" spans="1:21">
      <c r="A9" s="48"/>
      <c r="B9" s="8" t="s">
        <v>13</v>
      </c>
      <c r="C9" s="73">
        <f>SUBTOTAL(109,OCCRevenues[Budget 10/11])</f>
        <v>0</v>
      </c>
      <c r="D9" s="73">
        <f>SUBTOTAL(109,OCCRevenues[Actual 10/11])</f>
        <v>0</v>
      </c>
      <c r="E9" s="73">
        <f>SUBTOTAL(109,OCCRevenues[Budget 11/12])</f>
        <v>0</v>
      </c>
      <c r="F9" s="73">
        <f>SUBTOTAL(109,OCCRevenues[Actual 11/12])</f>
        <v>921</v>
      </c>
      <c r="G9" s="73">
        <f>SUBTOTAL(109,OCCRevenues[Budget 12/13])</f>
        <v>0</v>
      </c>
      <c r="H9" s="73">
        <f>SUBTOTAL(109,OCCRevenues[Actual 12/13])</f>
        <v>1206.82</v>
      </c>
      <c r="I9" s="73">
        <f>SUBTOTAL(109,OCCRevenues[Budget 13/14])</f>
        <v>0</v>
      </c>
      <c r="J9" s="73">
        <f>SUBTOTAL(109,OCCRevenues[Actual 13/14])</f>
        <v>688.27</v>
      </c>
      <c r="K9" s="73">
        <f>SUBTOTAL(109,OCCRevenues[Budget 14/15])</f>
        <v>0</v>
      </c>
      <c r="L9" s="73">
        <f>SUBTOTAL(109,OCCRevenues[Actual 14/15])</f>
        <v>2200.1</v>
      </c>
      <c r="M9" s="73">
        <f>SUBTOTAL(109,OCCRevenues[Budget 15/16])</f>
        <v>0</v>
      </c>
      <c r="N9" s="476">
        <f>SUBTOTAL(109,OCCRevenues[Actual 15/16])</f>
        <v>1353.8</v>
      </c>
      <c r="O9" s="73">
        <f>SUBTOTAL(109,OCCRevenues[Budget 16/17])</f>
        <v>0</v>
      </c>
      <c r="P9" s="73">
        <f>SUBTOTAL(109,OCCRevenues[Actual 16/17])</f>
        <v>1493.85</v>
      </c>
      <c r="Q9" s="73">
        <f>SUBTOTAL(109,OCCRevenues[Budget 17/18])</f>
        <v>1200</v>
      </c>
      <c r="R9" s="191">
        <f>SUM(OCCRevenues[Actual 17/18])</f>
        <v>600</v>
      </c>
      <c r="S9" s="191">
        <f>SUBTOTAL(109,OCCRevenues[Budget 18/19])</f>
        <v>600</v>
      </c>
      <c r="T9" s="477">
        <f>SUBTOTAL(109,OCCRevenues[Budget 19/20])</f>
        <v>1000</v>
      </c>
      <c r="U9" s="187"/>
    </row>
    <row r="10" spans="1:21">
      <c r="A10" s="48"/>
      <c r="B10" s="26"/>
      <c r="C10" s="73"/>
      <c r="D10" s="73"/>
      <c r="E10" s="73"/>
      <c r="F10" s="73"/>
      <c r="G10" s="73"/>
      <c r="H10" s="73"/>
      <c r="I10" s="73"/>
      <c r="J10" s="73"/>
      <c r="K10" s="73"/>
      <c r="L10" s="73"/>
      <c r="M10" s="73"/>
    </row>
    <row r="11" spans="1:21">
      <c r="A11" s="48"/>
    </row>
    <row r="12" spans="1:21">
      <c r="A12" s="48" t="s">
        <v>107</v>
      </c>
      <c r="B12" s="8" t="s">
        <v>61</v>
      </c>
      <c r="C12" s="8" t="s">
        <v>48</v>
      </c>
      <c r="D12" s="8" t="s">
        <v>49</v>
      </c>
      <c r="E12" s="8" t="s">
        <v>50</v>
      </c>
      <c r="F12" s="8" t="s">
        <v>51</v>
      </c>
      <c r="G12" s="8" t="s">
        <v>52</v>
      </c>
      <c r="H12" s="8" t="s">
        <v>53</v>
      </c>
      <c r="I12" s="8" t="s">
        <v>54</v>
      </c>
      <c r="J12" s="8" t="s">
        <v>55</v>
      </c>
      <c r="K12" s="8" t="s">
        <v>56</v>
      </c>
      <c r="L12" s="8" t="s">
        <v>104</v>
      </c>
      <c r="M12" s="8" t="s">
        <v>29</v>
      </c>
      <c r="N12" s="124" t="s">
        <v>30</v>
      </c>
      <c r="O12" s="8" t="s">
        <v>31</v>
      </c>
      <c r="P12" s="8" t="s">
        <v>32</v>
      </c>
      <c r="Q12" s="8" t="s">
        <v>33</v>
      </c>
      <c r="R12" s="8" t="s">
        <v>34</v>
      </c>
      <c r="S12" s="8" t="s">
        <v>6</v>
      </c>
      <c r="T12" s="8" t="s">
        <v>8</v>
      </c>
      <c r="U12" s="8" t="s">
        <v>35</v>
      </c>
    </row>
    <row r="13" spans="1:21">
      <c r="A13" s="48" t="s">
        <v>420</v>
      </c>
      <c r="B13" s="8" t="s">
        <v>421</v>
      </c>
      <c r="C13" s="16">
        <v>0</v>
      </c>
      <c r="D13" s="16">
        <v>0</v>
      </c>
      <c r="E13" s="16">
        <v>0</v>
      </c>
      <c r="F13" s="16">
        <v>0</v>
      </c>
      <c r="G13" s="16">
        <v>0</v>
      </c>
      <c r="H13" s="16">
        <v>0</v>
      </c>
      <c r="I13" s="16">
        <v>0</v>
      </c>
      <c r="J13" s="16"/>
      <c r="K13" s="16">
        <v>0</v>
      </c>
      <c r="L13" s="16">
        <v>0</v>
      </c>
      <c r="M13" s="16">
        <v>0</v>
      </c>
      <c r="N13" s="140">
        <v>0</v>
      </c>
      <c r="O13" s="16">
        <v>0</v>
      </c>
      <c r="P13" s="16"/>
      <c r="Q13" s="16"/>
      <c r="R13" s="16">
        <v>2617.62</v>
      </c>
      <c r="S13" s="16"/>
      <c r="T13" s="16"/>
      <c r="U13" s="16"/>
    </row>
    <row r="14" spans="1:21">
      <c r="A14" s="48" t="s">
        <v>422</v>
      </c>
      <c r="B14" s="8" t="s">
        <v>116</v>
      </c>
      <c r="C14" s="16">
        <v>2600</v>
      </c>
      <c r="D14" s="16">
        <v>2697.31</v>
      </c>
      <c r="E14" s="16">
        <v>3839</v>
      </c>
      <c r="F14" s="16">
        <v>2863.15</v>
      </c>
      <c r="G14" s="16">
        <v>1860</v>
      </c>
      <c r="H14" s="16">
        <v>1239.82</v>
      </c>
      <c r="I14" s="16">
        <v>1230</v>
      </c>
      <c r="J14" s="16">
        <v>1183.1300000000001</v>
      </c>
      <c r="K14" s="16">
        <v>2040</v>
      </c>
      <c r="L14" s="16">
        <v>4424.49</v>
      </c>
      <c r="M14" s="16">
        <v>1830</v>
      </c>
      <c r="N14" s="140">
        <v>2223.25</v>
      </c>
      <c r="O14" s="16">
        <v>1620</v>
      </c>
      <c r="P14" s="16">
        <v>1911.83</v>
      </c>
      <c r="Q14" s="16">
        <v>1620</v>
      </c>
      <c r="R14" s="16">
        <v>1298.6099999999999</v>
      </c>
      <c r="S14" s="16">
        <v>1540</v>
      </c>
      <c r="T14" s="16">
        <v>1560</v>
      </c>
      <c r="U14" s="16"/>
    </row>
    <row r="15" spans="1:21">
      <c r="A15" s="48" t="s">
        <v>423</v>
      </c>
      <c r="B15" s="8" t="s">
        <v>70</v>
      </c>
      <c r="C15" s="16">
        <v>250</v>
      </c>
      <c r="D15" s="16">
        <v>227.56</v>
      </c>
      <c r="E15" s="16">
        <v>250</v>
      </c>
      <c r="F15" s="16">
        <v>227.42</v>
      </c>
      <c r="G15" s="16">
        <v>250</v>
      </c>
      <c r="H15" s="16">
        <v>228.14</v>
      </c>
      <c r="I15" s="16">
        <v>250</v>
      </c>
      <c r="J15" s="16">
        <v>227.58</v>
      </c>
      <c r="K15" s="16">
        <v>250</v>
      </c>
      <c r="L15" s="16">
        <v>189.54</v>
      </c>
      <c r="M15" s="16">
        <v>0</v>
      </c>
      <c r="N15" s="140">
        <v>0</v>
      </c>
      <c r="O15" s="16">
        <v>0</v>
      </c>
      <c r="P15" s="16"/>
      <c r="Q15" s="16"/>
      <c r="R15" s="16"/>
      <c r="S15" s="16"/>
      <c r="T15" s="16">
        <v>315</v>
      </c>
      <c r="U15" s="16"/>
    </row>
    <row r="16" spans="1:21">
      <c r="A16" s="48" t="s">
        <v>424</v>
      </c>
      <c r="B16" s="8" t="s">
        <v>77</v>
      </c>
      <c r="C16" s="16">
        <v>75</v>
      </c>
      <c r="D16" s="16">
        <v>8.5399999999999991</v>
      </c>
      <c r="E16" s="16">
        <v>75</v>
      </c>
      <c r="F16" s="16">
        <v>38.85</v>
      </c>
      <c r="G16" s="16">
        <v>50</v>
      </c>
      <c r="H16" s="16">
        <v>2.85</v>
      </c>
      <c r="I16" s="16">
        <v>25</v>
      </c>
      <c r="J16" s="16">
        <v>55.55</v>
      </c>
      <c r="K16" s="16">
        <v>25</v>
      </c>
      <c r="L16" s="16">
        <v>47.57</v>
      </c>
      <c r="M16" s="16">
        <v>25</v>
      </c>
      <c r="N16" s="140">
        <v>10.25</v>
      </c>
      <c r="O16" s="16">
        <v>25</v>
      </c>
      <c r="P16" s="16"/>
      <c r="Q16" s="16">
        <v>25</v>
      </c>
      <c r="R16" s="16"/>
      <c r="S16" s="16">
        <v>20</v>
      </c>
      <c r="T16" s="16">
        <v>20</v>
      </c>
      <c r="U16" s="16"/>
    </row>
    <row r="17" spans="1:21">
      <c r="A17" s="48" t="s">
        <v>425</v>
      </c>
      <c r="B17" s="8" t="s">
        <v>258</v>
      </c>
      <c r="C17" s="16">
        <v>150</v>
      </c>
      <c r="D17" s="16">
        <v>80.73</v>
      </c>
      <c r="E17" s="16">
        <v>680</v>
      </c>
      <c r="F17" s="16">
        <v>16.940000000000001</v>
      </c>
      <c r="G17" s="16">
        <v>100</v>
      </c>
      <c r="H17" s="16">
        <v>89.08</v>
      </c>
      <c r="I17" s="16">
        <v>100</v>
      </c>
      <c r="J17" s="16">
        <v>131.16</v>
      </c>
      <c r="K17" s="16">
        <v>150</v>
      </c>
      <c r="L17" s="16">
        <v>116.25</v>
      </c>
      <c r="M17" s="16">
        <v>200</v>
      </c>
      <c r="N17" s="140">
        <v>25.38</v>
      </c>
      <c r="O17" s="16">
        <v>200</v>
      </c>
      <c r="P17" s="16">
        <v>144.63999999999999</v>
      </c>
      <c r="Q17" s="16">
        <v>200</v>
      </c>
      <c r="R17" s="16"/>
      <c r="S17" s="16">
        <v>60</v>
      </c>
      <c r="T17" s="16">
        <v>60</v>
      </c>
      <c r="U17" s="16"/>
    </row>
    <row r="18" spans="1:21">
      <c r="A18" s="48" t="s">
        <v>426</v>
      </c>
      <c r="B18" s="8" t="s">
        <v>427</v>
      </c>
      <c r="C18" s="16">
        <v>100</v>
      </c>
      <c r="D18" s="16">
        <v>10</v>
      </c>
      <c r="E18" s="16">
        <v>200</v>
      </c>
      <c r="F18" s="16">
        <v>174.42</v>
      </c>
      <c r="G18" s="16">
        <v>200</v>
      </c>
      <c r="H18" s="16">
        <v>125.23</v>
      </c>
      <c r="I18" s="16">
        <v>150</v>
      </c>
      <c r="J18" s="16">
        <v>81.489999999999995</v>
      </c>
      <c r="K18" s="16">
        <v>200</v>
      </c>
      <c r="L18" s="16">
        <v>178.92</v>
      </c>
      <c r="M18" s="16">
        <v>200</v>
      </c>
      <c r="N18" s="140">
        <v>218.09</v>
      </c>
      <c r="O18" s="16">
        <v>200</v>
      </c>
      <c r="P18" s="16">
        <v>328.3</v>
      </c>
      <c r="Q18" s="16">
        <v>300</v>
      </c>
      <c r="R18" s="16">
        <v>169.26</v>
      </c>
      <c r="S18" s="16">
        <v>200</v>
      </c>
      <c r="T18" s="16">
        <v>200</v>
      </c>
      <c r="U18" s="16"/>
    </row>
    <row r="19" spans="1:21" hidden="1">
      <c r="A19" s="48" t="s">
        <v>428</v>
      </c>
      <c r="B19" s="8" t="s">
        <v>289</v>
      </c>
      <c r="C19" s="16">
        <v>450</v>
      </c>
      <c r="D19" s="16">
        <v>1.67</v>
      </c>
      <c r="E19" s="16">
        <v>578</v>
      </c>
      <c r="F19" s="16">
        <v>876.72</v>
      </c>
      <c r="G19" s="16">
        <v>0</v>
      </c>
      <c r="H19" s="16">
        <v>0</v>
      </c>
      <c r="I19" s="16">
        <v>0</v>
      </c>
      <c r="J19" s="16">
        <v>0</v>
      </c>
      <c r="K19" s="16">
        <v>0</v>
      </c>
      <c r="L19" s="16">
        <v>0</v>
      </c>
      <c r="M19" s="16">
        <v>0</v>
      </c>
      <c r="N19" s="140">
        <v>0</v>
      </c>
      <c r="O19" s="16">
        <v>0</v>
      </c>
      <c r="P19" s="16"/>
      <c r="Q19" s="16"/>
      <c r="R19" s="16"/>
      <c r="S19" s="16"/>
      <c r="T19" s="16"/>
      <c r="U19" s="16"/>
    </row>
    <row r="20" spans="1:21">
      <c r="A20" s="48" t="s">
        <v>429</v>
      </c>
      <c r="B20" s="8" t="s">
        <v>251</v>
      </c>
      <c r="C20" s="16">
        <v>0</v>
      </c>
      <c r="D20" s="16">
        <v>0</v>
      </c>
      <c r="E20" s="16">
        <v>0</v>
      </c>
      <c r="F20" s="16">
        <v>0</v>
      </c>
      <c r="G20" s="16">
        <v>0</v>
      </c>
      <c r="H20" s="16">
        <v>0</v>
      </c>
      <c r="I20" s="16">
        <v>0</v>
      </c>
      <c r="J20" s="16">
        <v>233.71</v>
      </c>
      <c r="K20" s="16">
        <v>0</v>
      </c>
      <c r="L20" s="16">
        <v>0</v>
      </c>
      <c r="M20" s="16">
        <v>0</v>
      </c>
      <c r="N20" s="140">
        <v>0</v>
      </c>
      <c r="O20" s="16">
        <v>0</v>
      </c>
      <c r="P20" s="16"/>
      <c r="Q20" s="16"/>
      <c r="R20" s="16">
        <v>47.44</v>
      </c>
      <c r="S20" s="16"/>
      <c r="T20" s="16"/>
      <c r="U20" s="16"/>
    </row>
    <row r="21" spans="1:21">
      <c r="A21" s="48" t="s">
        <v>430</v>
      </c>
      <c r="B21" s="74" t="s">
        <v>87</v>
      </c>
      <c r="C21" s="16">
        <v>541.27</v>
      </c>
      <c r="D21" s="16">
        <v>541.32000000000005</v>
      </c>
      <c r="E21" s="16">
        <v>840</v>
      </c>
      <c r="F21" s="16">
        <v>541.19000000000005</v>
      </c>
      <c r="G21" s="16">
        <f>22.55*12</f>
        <v>270.60000000000002</v>
      </c>
      <c r="H21" s="16">
        <v>270.60000000000002</v>
      </c>
      <c r="I21" s="16">
        <v>0</v>
      </c>
      <c r="J21" s="16">
        <v>0.04</v>
      </c>
      <c r="K21" s="16">
        <v>0</v>
      </c>
      <c r="L21" s="16">
        <v>0</v>
      </c>
      <c r="M21" s="16">
        <v>0</v>
      </c>
      <c r="N21" s="140">
        <v>0</v>
      </c>
      <c r="O21" s="16">
        <v>0</v>
      </c>
      <c r="P21" s="16"/>
      <c r="Q21" s="16"/>
      <c r="R21" s="16"/>
      <c r="S21" s="16"/>
      <c r="T21" s="16"/>
      <c r="U21" s="16"/>
    </row>
    <row r="22" spans="1:21">
      <c r="A22" s="48" t="s">
        <v>431</v>
      </c>
      <c r="B22" s="8" t="s">
        <v>260</v>
      </c>
      <c r="C22" s="16">
        <v>5500</v>
      </c>
      <c r="D22" s="16">
        <v>7037.87</v>
      </c>
      <c r="E22" s="16">
        <v>3877</v>
      </c>
      <c r="F22" s="16">
        <v>1133.6099999999999</v>
      </c>
      <c r="G22" s="16">
        <v>1500</v>
      </c>
      <c r="H22" s="16">
        <v>0</v>
      </c>
      <c r="I22" s="16">
        <v>4100</v>
      </c>
      <c r="J22" s="16">
        <v>4063.18</v>
      </c>
      <c r="K22" s="16">
        <v>4500</v>
      </c>
      <c r="L22" s="16">
        <v>4332.42</v>
      </c>
      <c r="M22" s="16">
        <v>4500</v>
      </c>
      <c r="N22" s="140">
        <v>3922.94</v>
      </c>
      <c r="O22" s="16">
        <v>4000</v>
      </c>
      <c r="P22" s="16">
        <v>3368.55</v>
      </c>
      <c r="Q22" s="16">
        <v>4100</v>
      </c>
      <c r="R22" s="16">
        <v>2515.48</v>
      </c>
      <c r="S22" s="16">
        <v>4100</v>
      </c>
      <c r="T22" s="16">
        <v>4100</v>
      </c>
      <c r="U22" s="16"/>
    </row>
    <row r="23" spans="1:21">
      <c r="A23" s="48" t="s">
        <v>432</v>
      </c>
      <c r="B23" s="8" t="s">
        <v>433</v>
      </c>
      <c r="C23" s="16">
        <v>2200</v>
      </c>
      <c r="D23" s="16">
        <v>1455.7</v>
      </c>
      <c r="E23" s="16">
        <v>4540</v>
      </c>
      <c r="F23" s="16"/>
      <c r="G23" s="16">
        <v>2000</v>
      </c>
      <c r="H23" s="16">
        <v>3199.86</v>
      </c>
      <c r="I23" s="16">
        <v>2000</v>
      </c>
      <c r="J23" s="16">
        <v>2540.52</v>
      </c>
      <c r="K23" s="16">
        <v>3000</v>
      </c>
      <c r="L23" s="16">
        <v>3516.05</v>
      </c>
      <c r="M23" s="16">
        <v>2500</v>
      </c>
      <c r="N23" s="140">
        <v>3287.05</v>
      </c>
      <c r="O23" s="16">
        <v>2500</v>
      </c>
      <c r="P23" s="16">
        <v>3400.09</v>
      </c>
      <c r="Q23" s="16">
        <v>2500</v>
      </c>
      <c r="R23" s="16"/>
      <c r="S23" s="16">
        <v>2500</v>
      </c>
      <c r="T23" s="16">
        <v>2300</v>
      </c>
      <c r="U23" s="16"/>
    </row>
    <row r="24" spans="1:21">
      <c r="A24" s="48" t="s">
        <v>434</v>
      </c>
      <c r="B24" s="8" t="s">
        <v>89</v>
      </c>
      <c r="C24" s="16">
        <v>3000</v>
      </c>
      <c r="D24" s="16">
        <v>2285.8200000000002</v>
      </c>
      <c r="E24" s="16">
        <v>3222</v>
      </c>
      <c r="F24" s="16">
        <v>3672.64</v>
      </c>
      <c r="G24" s="16">
        <v>1000</v>
      </c>
      <c r="H24" s="16">
        <v>1164.98</v>
      </c>
      <c r="I24" s="16"/>
      <c r="J24" s="16">
        <v>673.1</v>
      </c>
      <c r="K24" s="16">
        <v>0</v>
      </c>
      <c r="L24" s="16">
        <v>1728.72</v>
      </c>
      <c r="M24" s="16">
        <v>1200</v>
      </c>
      <c r="N24" s="140">
        <v>2753.21</v>
      </c>
      <c r="O24" s="16">
        <v>1200</v>
      </c>
      <c r="P24" s="16">
        <v>693.44</v>
      </c>
      <c r="Q24" s="16">
        <v>1200</v>
      </c>
      <c r="R24" s="16">
        <v>258.35000000000002</v>
      </c>
      <c r="S24" s="16">
        <v>750</v>
      </c>
      <c r="T24" s="16">
        <v>600</v>
      </c>
      <c r="U24" s="16"/>
    </row>
    <row r="25" spans="1:21" hidden="1">
      <c r="B25" s="74" t="s">
        <v>435</v>
      </c>
      <c r="C25" s="16">
        <v>500</v>
      </c>
      <c r="D25" s="16">
        <v>0</v>
      </c>
      <c r="E25" s="16">
        <v>0</v>
      </c>
      <c r="F25" s="16">
        <v>0</v>
      </c>
      <c r="G25" s="16">
        <v>0</v>
      </c>
      <c r="H25" s="16">
        <v>0</v>
      </c>
      <c r="I25" s="16">
        <v>0</v>
      </c>
      <c r="J25" s="16">
        <v>0</v>
      </c>
      <c r="K25" s="16">
        <v>0</v>
      </c>
      <c r="L25" s="16">
        <v>0</v>
      </c>
      <c r="M25" s="16">
        <v>0</v>
      </c>
      <c r="N25" s="140">
        <v>0</v>
      </c>
      <c r="O25" s="16">
        <v>0</v>
      </c>
      <c r="P25" s="16"/>
      <c r="Q25" s="16"/>
      <c r="R25" s="16"/>
      <c r="S25" s="16"/>
      <c r="T25" s="16"/>
      <c r="U25" s="16"/>
    </row>
    <row r="26" spans="1:21" hidden="1">
      <c r="B26" s="8" t="s">
        <v>436</v>
      </c>
      <c r="C26" s="16">
        <v>0</v>
      </c>
      <c r="D26" s="16">
        <v>0</v>
      </c>
      <c r="E26" s="16">
        <v>0</v>
      </c>
      <c r="F26" s="16">
        <v>0</v>
      </c>
      <c r="G26" s="16">
        <v>0</v>
      </c>
      <c r="H26" s="16">
        <v>0</v>
      </c>
      <c r="I26" s="16">
        <v>400</v>
      </c>
      <c r="J26" s="16">
        <v>0</v>
      </c>
      <c r="K26" s="16">
        <v>0</v>
      </c>
      <c r="L26" s="16">
        <v>0</v>
      </c>
      <c r="M26" s="16">
        <v>0</v>
      </c>
      <c r="N26" s="140">
        <v>0</v>
      </c>
      <c r="O26" s="16">
        <v>0</v>
      </c>
      <c r="P26" s="16"/>
      <c r="Q26" s="16"/>
      <c r="R26" s="16"/>
      <c r="S26" s="16"/>
      <c r="T26" s="16"/>
      <c r="U26" s="16"/>
    </row>
    <row r="27" spans="1:21" hidden="1">
      <c r="B27" s="8" t="s">
        <v>437</v>
      </c>
      <c r="C27" s="16">
        <v>0</v>
      </c>
      <c r="D27" s="16">
        <v>0</v>
      </c>
      <c r="E27" s="16">
        <v>0</v>
      </c>
      <c r="F27" s="16">
        <v>0</v>
      </c>
      <c r="G27" s="16">
        <v>0</v>
      </c>
      <c r="H27" s="16">
        <v>0</v>
      </c>
      <c r="I27" s="16">
        <v>400</v>
      </c>
      <c r="J27" s="16">
        <v>0</v>
      </c>
      <c r="K27" s="16">
        <v>0</v>
      </c>
      <c r="L27" s="16">
        <v>0</v>
      </c>
      <c r="M27" s="16">
        <v>0</v>
      </c>
      <c r="N27" s="140">
        <v>0</v>
      </c>
      <c r="O27" s="16">
        <v>0</v>
      </c>
      <c r="P27" s="16"/>
      <c r="Q27" s="16"/>
      <c r="R27" s="16"/>
      <c r="S27" s="16"/>
      <c r="T27" s="16"/>
      <c r="U27" s="16"/>
    </row>
    <row r="28" spans="1:21" hidden="1">
      <c r="B28" s="8" t="s">
        <v>438</v>
      </c>
      <c r="C28" s="16">
        <v>0</v>
      </c>
      <c r="D28" s="16">
        <v>0</v>
      </c>
      <c r="E28" s="16">
        <v>0</v>
      </c>
      <c r="F28" s="16">
        <v>0</v>
      </c>
      <c r="G28" s="16">
        <v>0</v>
      </c>
      <c r="H28" s="16">
        <v>0</v>
      </c>
      <c r="I28" s="16">
        <v>400</v>
      </c>
      <c r="J28" s="16">
        <v>0</v>
      </c>
      <c r="K28" s="16">
        <v>0</v>
      </c>
      <c r="L28" s="16">
        <v>0</v>
      </c>
      <c r="M28" s="16">
        <v>0</v>
      </c>
      <c r="N28" s="140">
        <v>0</v>
      </c>
      <c r="O28" s="16">
        <v>0</v>
      </c>
      <c r="P28" s="16"/>
      <c r="Q28" s="16"/>
      <c r="R28" s="16"/>
      <c r="S28" s="16"/>
      <c r="T28" s="16"/>
      <c r="U28" s="16"/>
    </row>
    <row r="29" spans="1:21" hidden="1">
      <c r="B29" s="8" t="s">
        <v>439</v>
      </c>
      <c r="C29" s="16">
        <v>0</v>
      </c>
      <c r="D29" s="16">
        <v>0</v>
      </c>
      <c r="E29" s="16">
        <v>0</v>
      </c>
      <c r="F29" s="16">
        <v>0</v>
      </c>
      <c r="G29" s="16">
        <v>0</v>
      </c>
      <c r="H29" s="16">
        <v>0</v>
      </c>
      <c r="I29" s="16">
        <v>0</v>
      </c>
      <c r="J29" s="16">
        <v>0</v>
      </c>
      <c r="K29" s="16">
        <v>300</v>
      </c>
      <c r="L29" s="16">
        <v>0</v>
      </c>
      <c r="M29" s="16">
        <v>300</v>
      </c>
      <c r="N29" s="140">
        <v>0</v>
      </c>
      <c r="O29" s="16">
        <v>0</v>
      </c>
      <c r="P29" s="16"/>
      <c r="Q29" s="16"/>
      <c r="R29" s="16"/>
      <c r="S29" s="16"/>
      <c r="T29" s="16"/>
      <c r="U29" s="16"/>
    </row>
    <row r="30" spans="1:21">
      <c r="B30" s="8" t="s">
        <v>13</v>
      </c>
      <c r="C30" s="16">
        <f>SUBTOTAL(109,OCCExpenses[Budget 10/11])</f>
        <v>14416.27</v>
      </c>
      <c r="D30" s="16">
        <f>SUBTOTAL(109,OCCExpenses[Actual 10/11])</f>
        <v>14344.85</v>
      </c>
      <c r="E30" s="16">
        <f>SUBTOTAL(109,OCCExpenses[Budget 11/12])</f>
        <v>17523</v>
      </c>
      <c r="F30" s="16">
        <f>SUBTOTAL(109,OCCExpenses[Actual 11/12])</f>
        <v>8668.2199999999993</v>
      </c>
      <c r="G30" s="16">
        <f>SUBTOTAL(109,OCCExpenses[Budget 12/13])</f>
        <v>7230.6</v>
      </c>
      <c r="H30" s="16">
        <f>SUBTOTAL(109,OCCExpenses[Actual 12/13])</f>
        <v>6320.5599999999995</v>
      </c>
      <c r="I30" s="16">
        <f>SUBTOTAL(109,OCCExpenses[Budget 13/14])</f>
        <v>7855</v>
      </c>
      <c r="J30" s="16">
        <f>SUBTOTAL(109,OCCExpenses[Actual 13/14])</f>
        <v>9189.4600000000009</v>
      </c>
      <c r="K30" s="16">
        <f>SUBTOTAL(109,OCCExpenses[Budget 14/15])</f>
        <v>10165</v>
      </c>
      <c r="L30" s="16">
        <f>SUBTOTAL(109,OCCExpenses[Actual 14/15])</f>
        <v>14533.959999999997</v>
      </c>
      <c r="M30" s="16">
        <f>SUBTOTAL(109,OCCExpenses[Budget 15/16])</f>
        <v>10455</v>
      </c>
      <c r="N30" s="140">
        <f>SUBTOTAL(109,OCCExpenses[Actual 15/16])</f>
        <v>12440.169999999998</v>
      </c>
      <c r="O30" s="16">
        <f>SUBTOTAL(109,OCCExpenses[Budget 16/17])</f>
        <v>9745</v>
      </c>
      <c r="P30" s="16">
        <f>SUBTOTAL(109,OCCExpenses[Actual 16/17])</f>
        <v>9846.85</v>
      </c>
      <c r="Q30" s="16">
        <f>SUBTOTAL(109,OCCExpenses[Budget 17/18])</f>
        <v>9945</v>
      </c>
      <c r="R30" s="1">
        <f>SUM(OCCExpenses[Actual 17/18])</f>
        <v>6906.76</v>
      </c>
      <c r="S30" s="1">
        <f>SUM(OCCExpenses[Budget 18/19])</f>
        <v>9170</v>
      </c>
      <c r="T30" s="16">
        <f>SUM(T13:T24)</f>
        <v>9155</v>
      </c>
      <c r="U30" s="1"/>
    </row>
    <row r="31" spans="1:21" ht="13.5" thickBot="1"/>
    <row r="32" spans="1:21" ht="19.5" thickBot="1">
      <c r="B32" s="452" t="s">
        <v>102</v>
      </c>
      <c r="C32" s="27">
        <f>OCCRevenues[[#Totals],[Budget 10/11]]-OCCExpenses[[#Totals],[Budget 10/11]]</f>
        <v>-14416.27</v>
      </c>
      <c r="D32" s="27">
        <f>OCCRevenues[[#Totals],[Actual 10/11]]-OCCExpenses[[#Totals],[Actual 10/11]]</f>
        <v>-14344.85</v>
      </c>
      <c r="E32" s="27">
        <f>OCCRevenues[[#Totals],[Budget 11/12]]-OCCExpenses[[#Totals],[Budget 11/12]]</f>
        <v>-17523</v>
      </c>
      <c r="F32" s="27">
        <f>OCCRevenues[[#Totals],[Actual 11/12]]-OCCExpenses[[#Totals],[Actual 11/12]]</f>
        <v>-7747.2199999999993</v>
      </c>
      <c r="G32" s="27">
        <f>OCCRevenues[[#Totals],[Budget 12/13]]-OCCExpenses[[#Totals],[Budget 12/13]]</f>
        <v>-7230.6</v>
      </c>
      <c r="H32" s="27">
        <f>OCCRevenues[[#Totals],[Actual 12/13]]-OCCExpenses[[#Totals],[Actual 12/13]]</f>
        <v>-5113.74</v>
      </c>
      <c r="I32" s="27">
        <f>OCCRevenues[[#Totals],[Budget 13/14]]-OCCExpenses[[#Totals],[Budget 13/14]]</f>
        <v>-7855</v>
      </c>
      <c r="J32" s="27">
        <f>OCCRevenues[[#Totals],[Actual 13/14]]-OCCExpenses[[#Totals],[Actual 13/14]]</f>
        <v>-8501.19</v>
      </c>
      <c r="K32" s="27">
        <f>OCCRevenues[[#Totals],[Budget 14/15]]-OCCExpenses[[#Totals],[Budget 14/15]]</f>
        <v>-10165</v>
      </c>
      <c r="L32" s="27">
        <f>OCCRevenues[[#Totals],[Actual 14/15]]-OCCExpenses[[#Totals],[Actual 14/15]]</f>
        <v>-12333.859999999997</v>
      </c>
      <c r="M32" s="27">
        <f>OCCRevenues[[#Totals],[Budget 15/16]]-OCCExpenses[[#Totals],[Budget 15/16]]</f>
        <v>-10455</v>
      </c>
      <c r="N32" s="27">
        <f>OCCRevenues[[#Totals],[Actual 15/16]]-OCCExpenses[[#Totals],[Actual 15/16]]</f>
        <v>-11086.369999999999</v>
      </c>
      <c r="O32" s="66">
        <f>OCCRevenues[[#Totals],[Budget 16/17]]-OCCExpenses[[#Totals],[Budget 16/17]]</f>
        <v>-9745</v>
      </c>
      <c r="P32" s="66">
        <f>OCCRevenues[[#Totals],[Actual 16/17]]-OCCExpenses[[#Totals],[Actual 16/17]]</f>
        <v>-8353</v>
      </c>
      <c r="Q32" s="360">
        <f>OCCRevenues[[#Totals],[Budget 17/18]]-OCCExpenses[[#Totals],[Budget 17/18]]</f>
        <v>-8745</v>
      </c>
      <c r="R32" s="360">
        <f>OCCRevenues[[#Totals],[Actual 17/18]]-OCCExpenses[[#Totals],[Actual 17/18]]</f>
        <v>-6306.76</v>
      </c>
      <c r="S32" s="360">
        <f>OCCRevenues[[#Totals],[Budget 18/19]]-OCCExpenses[[#Totals],[Budget 18/19]]</f>
        <v>-8570</v>
      </c>
      <c r="T32" s="360">
        <f>OCCRevenues[[#Totals],[Budget 19/20]]-OCCExpenses[[#Totals],[Budget 19/20]]</f>
        <v>-8155</v>
      </c>
      <c r="U32" s="66"/>
    </row>
    <row r="34" spans="9:17">
      <c r="I34"/>
      <c r="J34"/>
      <c r="K34"/>
      <c r="L34"/>
      <c r="M34"/>
      <c r="N34" s="148"/>
      <c r="O34"/>
      <c r="P34"/>
      <c r="Q34"/>
    </row>
    <row r="35" spans="9:17">
      <c r="I35"/>
      <c r="J35"/>
      <c r="K35"/>
      <c r="L35"/>
      <c r="M35"/>
      <c r="N35" s="148"/>
      <c r="O35"/>
      <c r="P35"/>
      <c r="Q35"/>
    </row>
    <row r="36" spans="9:17">
      <c r="I36"/>
      <c r="J36"/>
      <c r="K36"/>
      <c r="L36"/>
      <c r="M36"/>
      <c r="N36" s="148"/>
      <c r="O36"/>
      <c r="P36"/>
      <c r="Q36"/>
    </row>
    <row r="37" spans="9:17">
      <c r="I37"/>
      <c r="J37"/>
      <c r="K37"/>
      <c r="L37"/>
      <c r="M37"/>
      <c r="N37" s="148"/>
      <c r="O37"/>
      <c r="P37"/>
      <c r="Q37"/>
    </row>
    <row r="38" spans="9:17">
      <c r="I38"/>
      <c r="J38"/>
      <c r="K38"/>
      <c r="L38"/>
      <c r="M38"/>
      <c r="N38" s="148"/>
      <c r="O38"/>
      <c r="P38"/>
      <c r="Q38"/>
    </row>
    <row r="39" spans="9:17">
      <c r="I39"/>
      <c r="J39"/>
      <c r="K39"/>
      <c r="L39"/>
      <c r="M39"/>
      <c r="N39" s="148"/>
      <c r="O39"/>
      <c r="P39"/>
      <c r="Q39"/>
    </row>
    <row r="40" spans="9:17">
      <c r="I40"/>
      <c r="J40"/>
      <c r="K40"/>
      <c r="L40"/>
      <c r="M40"/>
      <c r="N40" s="148"/>
      <c r="O40"/>
      <c r="P40"/>
      <c r="Q40"/>
    </row>
    <row r="41" spans="9:17">
      <c r="I41"/>
      <c r="J41"/>
      <c r="K41"/>
      <c r="L41"/>
      <c r="M41"/>
      <c r="N41" s="148"/>
      <c r="O41"/>
      <c r="P41"/>
      <c r="Q41"/>
    </row>
    <row r="42" spans="9:17">
      <c r="I42"/>
      <c r="J42"/>
      <c r="K42"/>
      <c r="L42"/>
      <c r="M42"/>
      <c r="N42" s="148"/>
      <c r="O42"/>
      <c r="P42"/>
      <c r="Q42"/>
    </row>
  </sheetData>
  <customSheetViews>
    <customSheetView guid="{DC934874-AE9C-4DF4-8DA8-4394DABABB42}" showRuler="0">
      <selection activeCell="G20" sqref="G20"/>
      <pageMargins left="0" right="0" top="0" bottom="0" header="0" footer="0"/>
      <pageSetup orientation="portrait"/>
      <headerFooter alignWithMargins="0"/>
    </customSheetView>
    <customSheetView guid="{7FD89B2E-4983-4B8D-ABA2-A07F685A0C6E}" showRuler="0">
      <selection activeCell="F18" sqref="F18"/>
      <pageMargins left="0" right="0" top="0" bottom="0" header="0" footer="0"/>
      <pageSetup orientation="portrait"/>
      <headerFooter alignWithMargins="0"/>
    </customSheetView>
    <customSheetView guid="{84D8AC11-A493-4338-8044-6F4154C29695}" showRuler="0">
      <selection activeCell="G17" sqref="G17"/>
      <pageMargins left="0" right="0" top="0" bottom="0" header="0" footer="0"/>
      <pageSetup orientation="portrait"/>
      <headerFooter alignWithMargins="0"/>
    </customSheetView>
    <customSheetView guid="{BB157E55-0A2E-4D9F-A3BF-E83E5442FC27}" showPageBreaks="1" showRuler="0">
      <selection activeCell="A13" sqref="A13"/>
      <pageMargins left="0" right="0" top="0" bottom="0" header="0" footer="0"/>
      <pageSetup orientation="portrait"/>
      <headerFooter alignWithMargins="0"/>
    </customSheetView>
  </customSheetViews>
  <mergeCells count="2">
    <mergeCell ref="A3:B3"/>
    <mergeCell ref="A1:C1"/>
  </mergeCells>
  <phoneticPr fontId="0" type="noConversion"/>
  <pageMargins left="0" right="0" top="0.98425196850393704" bottom="0.98425196850393704" header="0.51181102362204722" footer="0.51181102362204722"/>
  <pageSetup orientation="landscape" blackAndWhite="1" r:id="rId1"/>
  <headerFooter alignWithMargins="0"/>
  <legacyDrawing r:id="rId2"/>
  <tableParts count="2">
    <tablePart r:id="rId3"/>
    <tablePart r:id="rId4"/>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tabColor theme="1"/>
    <pageSetUpPr fitToPage="1"/>
  </sheetPr>
  <dimension ref="A1:V52"/>
  <sheetViews>
    <sheetView showGridLines="0" zoomScale="90" zoomScaleNormal="90" workbookViewId="0">
      <selection activeCell="U44" sqref="U44"/>
    </sheetView>
  </sheetViews>
  <sheetFormatPr defaultColWidth="11.42578125" defaultRowHeight="12.75"/>
  <cols>
    <col min="1" max="1" width="13.85546875" style="8" customWidth="1"/>
    <col min="2" max="2" width="26.85546875" style="8" customWidth="1"/>
    <col min="3" max="4" width="15.42578125" style="8" hidden="1" customWidth="1"/>
    <col min="5" max="5" width="16" style="8" hidden="1" customWidth="1"/>
    <col min="6" max="13" width="15.42578125" style="8" hidden="1" customWidth="1"/>
    <col min="14" max="14" width="14.5703125" style="138" hidden="1" customWidth="1"/>
    <col min="15" max="15" width="14.5703125" style="8" hidden="1" customWidth="1"/>
    <col min="16" max="16" width="15.5703125" style="8" hidden="1" customWidth="1"/>
    <col min="17" max="17" width="15.5703125" style="8" customWidth="1"/>
    <col min="18" max="18" width="15.42578125" style="8" customWidth="1"/>
    <col min="19" max="19" width="15.28515625" style="8" customWidth="1"/>
    <col min="20" max="20" width="14.5703125" style="8" customWidth="1"/>
    <col min="21" max="21" width="14.5703125" style="8" bestFit="1" customWidth="1"/>
    <col min="22" max="16384" width="11.42578125" style="8"/>
  </cols>
  <sheetData>
    <row r="1" spans="1:22" ht="18">
      <c r="A1" s="534" t="s">
        <v>440</v>
      </c>
      <c r="B1" s="536"/>
    </row>
    <row r="2" spans="1:22">
      <c r="A2" s="28" t="s">
        <v>186</v>
      </c>
    </row>
    <row r="3" spans="1:22">
      <c r="A3" s="545"/>
      <c r="B3" s="545"/>
    </row>
    <row r="5" spans="1:22">
      <c r="A5" s="48" t="s">
        <v>107</v>
      </c>
      <c r="B5" s="8" t="s">
        <v>47</v>
      </c>
      <c r="C5" s="8" t="s">
        <v>48</v>
      </c>
      <c r="D5" s="8" t="s">
        <v>49</v>
      </c>
      <c r="E5" s="8" t="s">
        <v>50</v>
      </c>
      <c r="F5" s="8" t="s">
        <v>51</v>
      </c>
      <c r="G5" s="8" t="s">
        <v>52</v>
      </c>
      <c r="H5" s="8" t="s">
        <v>53</v>
      </c>
      <c r="I5" s="8" t="s">
        <v>54</v>
      </c>
      <c r="J5" s="8" t="s">
        <v>55</v>
      </c>
      <c r="K5" s="8" t="s">
        <v>56</v>
      </c>
      <c r="L5" s="8" t="s">
        <v>104</v>
      </c>
      <c r="M5" s="8" t="s">
        <v>29</v>
      </c>
      <c r="N5" s="124" t="s">
        <v>30</v>
      </c>
      <c r="O5" s="8" t="s">
        <v>31</v>
      </c>
      <c r="P5" s="8" t="s">
        <v>32</v>
      </c>
      <c r="Q5" s="8" t="s">
        <v>33</v>
      </c>
      <c r="R5" s="8" t="s">
        <v>34</v>
      </c>
      <c r="S5" s="8" t="s">
        <v>6</v>
      </c>
      <c r="T5" s="8" t="s">
        <v>8</v>
      </c>
      <c r="U5" s="8" t="s">
        <v>35</v>
      </c>
    </row>
    <row r="6" spans="1:22">
      <c r="A6" s="48" t="s">
        <v>441</v>
      </c>
      <c r="B6" s="8" t="s">
        <v>442</v>
      </c>
      <c r="C6" s="72">
        <v>0</v>
      </c>
      <c r="D6" s="72">
        <v>0</v>
      </c>
      <c r="E6" s="72">
        <v>0</v>
      </c>
      <c r="F6" s="72">
        <v>0</v>
      </c>
      <c r="G6" s="72">
        <v>0</v>
      </c>
      <c r="H6" s="72">
        <v>0</v>
      </c>
      <c r="I6" s="72">
        <v>0</v>
      </c>
      <c r="J6" s="72">
        <v>0</v>
      </c>
      <c r="K6" s="72">
        <v>0</v>
      </c>
      <c r="L6" s="72">
        <v>0</v>
      </c>
      <c r="M6" s="72">
        <v>0</v>
      </c>
      <c r="N6" s="161">
        <v>0</v>
      </c>
      <c r="O6" s="72">
        <v>0</v>
      </c>
      <c r="P6" s="72"/>
      <c r="Q6" s="72"/>
      <c r="R6" s="72"/>
      <c r="S6" s="72"/>
      <c r="T6" s="72"/>
      <c r="U6" s="72"/>
    </row>
    <row r="7" spans="1:22">
      <c r="A7" s="48" t="s">
        <v>443</v>
      </c>
      <c r="B7" s="8" t="s">
        <v>297</v>
      </c>
      <c r="C7" s="72">
        <v>0</v>
      </c>
      <c r="D7" s="72">
        <v>0</v>
      </c>
      <c r="E7" s="72">
        <v>0</v>
      </c>
      <c r="F7" s="72">
        <v>514.66</v>
      </c>
      <c r="G7" s="72">
        <v>0</v>
      </c>
      <c r="H7" s="72">
        <v>0</v>
      </c>
      <c r="I7" s="72">
        <v>0</v>
      </c>
      <c r="J7" s="72">
        <v>0</v>
      </c>
      <c r="K7" s="72">
        <v>0</v>
      </c>
      <c r="L7" s="72">
        <v>225</v>
      </c>
      <c r="M7" s="72">
        <v>0</v>
      </c>
      <c r="N7" s="149">
        <v>606.75</v>
      </c>
      <c r="O7" s="72">
        <v>0</v>
      </c>
      <c r="P7" s="72"/>
      <c r="Q7" s="72"/>
      <c r="R7" s="72"/>
      <c r="S7" s="72"/>
      <c r="T7" s="72"/>
      <c r="U7" s="72"/>
    </row>
    <row r="8" spans="1:22">
      <c r="A8" s="48"/>
      <c r="B8" s="8" t="s">
        <v>13</v>
      </c>
      <c r="C8" s="73">
        <f>SUBTOTAL(109,WomensCentreRevenues[Budget 10/11])</f>
        <v>0</v>
      </c>
      <c r="D8" s="73">
        <f>SUBTOTAL(109,WomensCentreRevenues[Actual 10/11])</f>
        <v>0</v>
      </c>
      <c r="E8" s="73">
        <f>SUBTOTAL(109,WomensCentreRevenues[Budget 11/12])</f>
        <v>0</v>
      </c>
      <c r="F8" s="73">
        <f>SUBTOTAL(109,WomensCentreRevenues[Actual 11/12])</f>
        <v>514.66</v>
      </c>
      <c r="G8" s="73">
        <f>SUBTOTAL(109,WomensCentreRevenues[Budget 12/13])</f>
        <v>0</v>
      </c>
      <c r="H8" s="73">
        <f>SUBTOTAL(109,WomensCentreRevenues[Actual 12/13])</f>
        <v>0</v>
      </c>
      <c r="I8" s="73">
        <f>SUBTOTAL(109,WomensCentreRevenues[Budget 13/14])</f>
        <v>0</v>
      </c>
      <c r="J8" s="73">
        <f>SUBTOTAL(109,WomensCentreRevenues[Actual 13/14])</f>
        <v>0</v>
      </c>
      <c r="K8" s="73">
        <f>SUBTOTAL(109,WomensCentreRevenues[Budget 14/15])</f>
        <v>0</v>
      </c>
      <c r="L8" s="73">
        <f>SUBTOTAL(109,WomensCentreRevenues[Actual 14/15])</f>
        <v>225</v>
      </c>
      <c r="M8" s="73">
        <f>SUBTOTAL(109,WomensCentreRevenues[Budget 15/16])</f>
        <v>0</v>
      </c>
      <c r="N8" s="476">
        <f>SUBTOTAL(109,WomensCentreRevenues[Actual 15/16])</f>
        <v>606.75</v>
      </c>
      <c r="O8" s="73">
        <f>SUBTOTAL(109,WomensCentreRevenues[Budget 16/17])</f>
        <v>0</v>
      </c>
      <c r="P8" s="73">
        <f>SUBTOTAL(109,WomensCentreRevenues[Actual 16/17])</f>
        <v>0</v>
      </c>
      <c r="Q8" s="73">
        <f>SUBTOTAL(109,WomensCentreRevenues[Budget 17/18])</f>
        <v>0</v>
      </c>
      <c r="R8" s="187">
        <f>SUBTOTAL(109,WomensCentreRevenues[Revenues])</f>
        <v>0</v>
      </c>
      <c r="S8" s="187">
        <f>SUBTOTAL(109,WomensCentreRevenues[Budget 10/11])</f>
        <v>0</v>
      </c>
      <c r="T8" s="187">
        <f>SUBTOTAL(109,WomensCentreRevenues[Actual 10/11])</f>
        <v>0</v>
      </c>
      <c r="U8" s="187"/>
    </row>
    <row r="9" spans="1:22">
      <c r="A9" s="48"/>
      <c r="B9" s="26"/>
      <c r="C9" s="16"/>
      <c r="D9" s="16"/>
      <c r="E9" s="16"/>
      <c r="F9" s="16"/>
      <c r="G9" s="16"/>
      <c r="H9" s="16"/>
      <c r="I9" s="16"/>
      <c r="J9" s="16"/>
      <c r="K9" s="16"/>
      <c r="L9" s="16"/>
      <c r="M9" s="16"/>
    </row>
    <row r="10" spans="1:22">
      <c r="A10" s="48"/>
    </row>
    <row r="11" spans="1:22">
      <c r="A11" s="48" t="s">
        <v>107</v>
      </c>
      <c r="B11" s="8" t="s">
        <v>61</v>
      </c>
      <c r="C11" s="8" t="s">
        <v>48</v>
      </c>
      <c r="D11" s="8" t="s">
        <v>49</v>
      </c>
      <c r="E11" s="8" t="s">
        <v>50</v>
      </c>
      <c r="F11" s="8" t="s">
        <v>51</v>
      </c>
      <c r="G11" s="8" t="s">
        <v>52</v>
      </c>
      <c r="H11" s="8" t="s">
        <v>53</v>
      </c>
      <c r="I11" s="8" t="s">
        <v>54</v>
      </c>
      <c r="J11" s="8" t="s">
        <v>55</v>
      </c>
      <c r="K11" s="8" t="s">
        <v>56</v>
      </c>
      <c r="L11" s="8" t="s">
        <v>104</v>
      </c>
      <c r="M11" s="8" t="s">
        <v>29</v>
      </c>
      <c r="N11" s="124" t="s">
        <v>30</v>
      </c>
      <c r="O11" s="8" t="s">
        <v>31</v>
      </c>
      <c r="P11" s="8" t="s">
        <v>32</v>
      </c>
      <c r="Q11" s="8" t="s">
        <v>33</v>
      </c>
      <c r="R11" s="8" t="s">
        <v>34</v>
      </c>
      <c r="S11" s="8" t="s">
        <v>6</v>
      </c>
      <c r="T11" s="8" t="s">
        <v>8</v>
      </c>
      <c r="U11" s="8" t="s">
        <v>35</v>
      </c>
    </row>
    <row r="12" spans="1:22">
      <c r="A12" s="48" t="s">
        <v>444</v>
      </c>
      <c r="B12" s="31" t="s">
        <v>116</v>
      </c>
      <c r="C12" s="75">
        <v>900</v>
      </c>
      <c r="D12" s="75">
        <v>848.22</v>
      </c>
      <c r="E12" s="75">
        <v>1500</v>
      </c>
      <c r="F12" s="75">
        <v>954.04</v>
      </c>
      <c r="G12" s="75">
        <v>1100</v>
      </c>
      <c r="H12" s="75">
        <v>1040.49</v>
      </c>
      <c r="I12" s="75">
        <v>1080</v>
      </c>
      <c r="J12" s="75">
        <v>1341.58</v>
      </c>
      <c r="K12" s="75">
        <v>1000</v>
      </c>
      <c r="L12" s="75">
        <v>1195.32</v>
      </c>
      <c r="M12" s="75">
        <v>1000</v>
      </c>
      <c r="N12" s="162">
        <v>1763.92</v>
      </c>
      <c r="O12" s="75">
        <v>1000</v>
      </c>
      <c r="P12" s="75">
        <v>1793.92</v>
      </c>
      <c r="Q12" s="75">
        <v>2000</v>
      </c>
      <c r="R12" s="75">
        <v>1647.1</v>
      </c>
      <c r="S12" s="75">
        <v>1800</v>
      </c>
      <c r="T12" s="75">
        <v>1800</v>
      </c>
      <c r="U12" s="75"/>
    </row>
    <row r="13" spans="1:22">
      <c r="A13" s="48" t="s">
        <v>445</v>
      </c>
      <c r="B13" s="31" t="s">
        <v>70</v>
      </c>
      <c r="C13" s="75">
        <v>250</v>
      </c>
      <c r="D13" s="75">
        <v>227.4</v>
      </c>
      <c r="E13" s="75">
        <v>250</v>
      </c>
      <c r="F13" s="75">
        <v>227.4</v>
      </c>
      <c r="G13" s="75">
        <v>250</v>
      </c>
      <c r="H13" s="75">
        <v>227.4</v>
      </c>
      <c r="I13" s="75">
        <v>250</v>
      </c>
      <c r="J13" s="75">
        <v>289.89999999999998</v>
      </c>
      <c r="K13" s="75">
        <v>250</v>
      </c>
      <c r="L13" s="75">
        <v>227.4</v>
      </c>
      <c r="M13" s="75">
        <v>250</v>
      </c>
      <c r="N13" s="162">
        <v>208.45</v>
      </c>
      <c r="O13" s="75">
        <v>250</v>
      </c>
      <c r="P13" s="75">
        <v>227.4</v>
      </c>
      <c r="Q13" s="75">
        <v>250</v>
      </c>
      <c r="R13" s="75">
        <v>208.45</v>
      </c>
      <c r="S13" s="75">
        <v>250</v>
      </c>
      <c r="T13" s="75">
        <v>250</v>
      </c>
      <c r="U13" s="75"/>
    </row>
    <row r="14" spans="1:22">
      <c r="A14" s="48" t="s">
        <v>446</v>
      </c>
      <c r="B14" s="31" t="s">
        <v>77</v>
      </c>
      <c r="C14" s="75">
        <v>100</v>
      </c>
      <c r="D14" s="75">
        <v>23.59</v>
      </c>
      <c r="E14" s="75">
        <v>50</v>
      </c>
      <c r="F14" s="75">
        <v>0.14000000000000001</v>
      </c>
      <c r="G14" s="75">
        <v>25</v>
      </c>
      <c r="H14" s="75">
        <v>21.5</v>
      </c>
      <c r="I14" s="75">
        <v>25</v>
      </c>
      <c r="J14" s="75">
        <v>13.01</v>
      </c>
      <c r="K14" s="75">
        <v>25</v>
      </c>
      <c r="L14" s="75">
        <v>0</v>
      </c>
      <c r="M14" s="75">
        <v>100</v>
      </c>
      <c r="N14" s="162">
        <v>0.41</v>
      </c>
      <c r="O14" s="75">
        <v>50</v>
      </c>
      <c r="P14" s="75"/>
      <c r="Q14" s="75">
        <v>50</v>
      </c>
      <c r="R14" s="75">
        <v>3.39</v>
      </c>
      <c r="S14" s="75">
        <v>10</v>
      </c>
      <c r="T14" s="75">
        <v>15</v>
      </c>
      <c r="U14" s="75"/>
    </row>
    <row r="15" spans="1:22">
      <c r="A15" s="48" t="s">
        <v>447</v>
      </c>
      <c r="B15" s="31" t="s">
        <v>138</v>
      </c>
      <c r="C15" s="75">
        <v>280</v>
      </c>
      <c r="D15" s="75">
        <v>107.41</v>
      </c>
      <c r="E15" s="75">
        <v>200</v>
      </c>
      <c r="F15" s="75">
        <v>204.98</v>
      </c>
      <c r="G15" s="75">
        <v>600</v>
      </c>
      <c r="H15" s="75">
        <v>362.4</v>
      </c>
      <c r="I15" s="75">
        <v>500</v>
      </c>
      <c r="J15" s="75">
        <v>235.82</v>
      </c>
      <c r="K15" s="75">
        <v>250</v>
      </c>
      <c r="L15" s="75">
        <v>592.49</v>
      </c>
      <c r="M15" s="75">
        <v>250</v>
      </c>
      <c r="N15" s="162">
        <v>441.06</v>
      </c>
      <c r="O15" s="75">
        <v>350</v>
      </c>
      <c r="P15" s="75">
        <v>289.39</v>
      </c>
      <c r="Q15" s="75">
        <v>350</v>
      </c>
      <c r="R15" s="75">
        <v>311.25</v>
      </c>
      <c r="S15" s="75">
        <v>350</v>
      </c>
      <c r="T15" s="75">
        <v>350</v>
      </c>
      <c r="U15" s="75"/>
    </row>
    <row r="16" spans="1:22">
      <c r="A16" s="48" t="s">
        <v>448</v>
      </c>
      <c r="B16" s="31" t="s">
        <v>81</v>
      </c>
      <c r="C16" s="75">
        <v>500</v>
      </c>
      <c r="D16" s="75">
        <v>1434.68</v>
      </c>
      <c r="E16" s="75">
        <v>800</v>
      </c>
      <c r="F16" s="75">
        <v>622.79999999999995</v>
      </c>
      <c r="G16" s="75">
        <v>600</v>
      </c>
      <c r="H16" s="75">
        <v>516.83000000000004</v>
      </c>
      <c r="I16" s="75">
        <v>600</v>
      </c>
      <c r="J16" s="75">
        <v>247.6</v>
      </c>
      <c r="K16" s="75">
        <v>600</v>
      </c>
      <c r="L16" s="75">
        <v>1019.33</v>
      </c>
      <c r="M16" s="75">
        <v>750</v>
      </c>
      <c r="N16" s="162">
        <v>71.59</v>
      </c>
      <c r="O16" s="75">
        <v>500</v>
      </c>
      <c r="P16" s="75">
        <v>286.97000000000003</v>
      </c>
      <c r="Q16" s="75">
        <v>500</v>
      </c>
      <c r="R16" s="75">
        <v>476.29</v>
      </c>
      <c r="S16" s="75">
        <v>300</v>
      </c>
      <c r="T16" s="75">
        <v>300</v>
      </c>
      <c r="U16" s="75"/>
      <c r="V16" s="8" t="s">
        <v>449</v>
      </c>
    </row>
    <row r="17" spans="1:21">
      <c r="A17" s="48" t="s">
        <v>450</v>
      </c>
      <c r="B17" s="31" t="s">
        <v>308</v>
      </c>
      <c r="C17" s="75">
        <v>110</v>
      </c>
      <c r="D17" s="75">
        <v>0</v>
      </c>
      <c r="E17" s="75">
        <v>0</v>
      </c>
      <c r="F17" s="75">
        <v>0</v>
      </c>
      <c r="G17" s="75">
        <v>0</v>
      </c>
      <c r="H17" s="75">
        <v>0</v>
      </c>
      <c r="I17" s="75">
        <v>0</v>
      </c>
      <c r="J17" s="75"/>
      <c r="K17" s="75">
        <v>0</v>
      </c>
      <c r="L17" s="75">
        <v>0</v>
      </c>
      <c r="M17" s="75">
        <v>0</v>
      </c>
      <c r="N17" s="162">
        <v>0</v>
      </c>
      <c r="O17" s="75">
        <v>0</v>
      </c>
      <c r="P17" s="75"/>
      <c r="Q17" s="75"/>
      <c r="R17" s="75"/>
      <c r="S17" s="75"/>
      <c r="T17" s="75"/>
      <c r="U17" s="75"/>
    </row>
    <row r="18" spans="1:21">
      <c r="A18" s="48" t="s">
        <v>451</v>
      </c>
      <c r="B18" s="31" t="s">
        <v>289</v>
      </c>
      <c r="C18" s="75">
        <v>600</v>
      </c>
      <c r="D18" s="75">
        <v>0</v>
      </c>
      <c r="E18" s="75">
        <v>3300</v>
      </c>
      <c r="F18" s="75">
        <v>2552.4899999999998</v>
      </c>
      <c r="G18" s="75">
        <v>0</v>
      </c>
      <c r="H18" s="75">
        <v>0</v>
      </c>
      <c r="I18" s="75">
        <v>0</v>
      </c>
      <c r="J18" s="75"/>
      <c r="K18" s="75">
        <v>0</v>
      </c>
      <c r="L18" s="75">
        <v>0</v>
      </c>
      <c r="M18" s="75">
        <v>0</v>
      </c>
      <c r="N18" s="162">
        <v>0</v>
      </c>
      <c r="O18" s="75">
        <v>0</v>
      </c>
      <c r="P18" s="75">
        <v>30.2</v>
      </c>
      <c r="Q18" s="75"/>
      <c r="R18" s="75">
        <v>-30.2</v>
      </c>
      <c r="S18" s="75"/>
      <c r="T18" s="75"/>
      <c r="U18" s="75"/>
    </row>
    <row r="19" spans="1:21">
      <c r="A19" s="48" t="s">
        <v>452</v>
      </c>
      <c r="B19" s="31" t="s">
        <v>453</v>
      </c>
      <c r="C19" s="75">
        <v>0</v>
      </c>
      <c r="D19" s="75">
        <v>0</v>
      </c>
      <c r="E19" s="75">
        <v>0</v>
      </c>
      <c r="F19" s="75">
        <v>0</v>
      </c>
      <c r="G19" s="75">
        <v>0</v>
      </c>
      <c r="H19" s="75">
        <v>0</v>
      </c>
      <c r="I19" s="75">
        <v>0</v>
      </c>
      <c r="J19" s="75"/>
      <c r="K19" s="75">
        <v>0</v>
      </c>
      <c r="L19" s="75">
        <v>0</v>
      </c>
      <c r="M19" s="75">
        <v>0</v>
      </c>
      <c r="N19" s="162">
        <v>0</v>
      </c>
      <c r="O19" s="75">
        <v>0</v>
      </c>
      <c r="P19" s="75"/>
      <c r="Q19" s="75"/>
      <c r="R19" s="75"/>
      <c r="S19" s="75"/>
      <c r="T19" s="75"/>
      <c r="U19" s="75"/>
    </row>
    <row r="20" spans="1:21">
      <c r="A20" s="48" t="s">
        <v>454</v>
      </c>
      <c r="B20" s="31" t="s">
        <v>455</v>
      </c>
      <c r="C20" s="75">
        <v>0</v>
      </c>
      <c r="D20" s="75">
        <v>0</v>
      </c>
      <c r="E20" s="75">
        <v>0</v>
      </c>
      <c r="F20" s="75">
        <v>0</v>
      </c>
      <c r="G20" s="75">
        <v>0</v>
      </c>
      <c r="H20" s="75">
        <v>0</v>
      </c>
      <c r="I20" s="75">
        <v>0</v>
      </c>
      <c r="J20" s="75"/>
      <c r="K20" s="75">
        <v>0</v>
      </c>
      <c r="L20" s="75">
        <v>0</v>
      </c>
      <c r="M20" s="75">
        <v>0</v>
      </c>
      <c r="N20" s="162">
        <v>0</v>
      </c>
      <c r="O20" s="75">
        <v>0</v>
      </c>
      <c r="P20" s="75"/>
      <c r="Q20" s="75"/>
      <c r="R20" s="75"/>
      <c r="S20" s="75"/>
      <c r="T20" s="75"/>
      <c r="U20" s="75"/>
    </row>
    <row r="21" spans="1:21">
      <c r="A21" s="48" t="s">
        <v>456</v>
      </c>
      <c r="B21" s="31" t="s">
        <v>87</v>
      </c>
      <c r="C21" s="75">
        <v>322.22000000000003</v>
      </c>
      <c r="D21" s="75">
        <v>322.2</v>
      </c>
      <c r="E21" s="75">
        <v>322.2</v>
      </c>
      <c r="F21" s="75">
        <v>214.86</v>
      </c>
      <c r="G21" s="75">
        <v>0</v>
      </c>
      <c r="H21" s="75">
        <v>0</v>
      </c>
      <c r="I21" s="75">
        <v>0</v>
      </c>
      <c r="J21" s="75"/>
      <c r="K21" s="75">
        <v>0</v>
      </c>
      <c r="L21" s="75">
        <v>0</v>
      </c>
      <c r="M21" s="75">
        <v>0</v>
      </c>
      <c r="N21" s="162">
        <v>0</v>
      </c>
      <c r="O21" s="75">
        <v>0</v>
      </c>
      <c r="P21" s="75"/>
      <c r="Q21" s="75"/>
      <c r="R21" s="75"/>
      <c r="S21" s="75"/>
      <c r="T21" s="75"/>
      <c r="U21" s="75"/>
    </row>
    <row r="22" spans="1:21">
      <c r="A22" s="48" t="s">
        <v>457</v>
      </c>
      <c r="B22" s="31" t="s">
        <v>89</v>
      </c>
      <c r="C22" s="75">
        <v>500</v>
      </c>
      <c r="D22" s="75">
        <v>95.69</v>
      </c>
      <c r="E22" s="75">
        <v>1750</v>
      </c>
      <c r="F22" s="75">
        <v>1730</v>
      </c>
      <c r="G22" s="75">
        <v>1200</v>
      </c>
      <c r="H22" s="75">
        <v>996.92</v>
      </c>
      <c r="I22" s="75"/>
      <c r="J22" s="75">
        <v>592.13</v>
      </c>
      <c r="K22" s="75">
        <v>800</v>
      </c>
      <c r="L22" s="75">
        <v>946.93</v>
      </c>
      <c r="M22" s="75">
        <v>1200</v>
      </c>
      <c r="N22" s="162">
        <v>1703.45</v>
      </c>
      <c r="O22" s="75">
        <v>900</v>
      </c>
      <c r="P22" s="75">
        <v>2087.65</v>
      </c>
      <c r="Q22" s="75">
        <v>1100</v>
      </c>
      <c r="R22" s="75" t="s">
        <v>458</v>
      </c>
      <c r="S22" s="75">
        <v>1100</v>
      </c>
      <c r="T22" s="75">
        <v>950</v>
      </c>
      <c r="U22" s="75"/>
    </row>
    <row r="23" spans="1:21">
      <c r="A23" s="48" t="s">
        <v>457</v>
      </c>
      <c r="B23" s="31" t="s">
        <v>356</v>
      </c>
      <c r="C23" s="75">
        <v>1200</v>
      </c>
      <c r="D23" s="75">
        <v>1011.74</v>
      </c>
      <c r="E23" s="75">
        <v>1500</v>
      </c>
      <c r="F23" s="75">
        <v>696.25</v>
      </c>
      <c r="G23" s="75">
        <v>350</v>
      </c>
      <c r="H23" s="75">
        <v>185.38</v>
      </c>
      <c r="I23" s="75">
        <v>200</v>
      </c>
      <c r="J23" s="75">
        <v>17.22</v>
      </c>
      <c r="K23" s="75">
        <v>150</v>
      </c>
      <c r="L23" s="75">
        <v>46.73</v>
      </c>
      <c r="M23" s="75">
        <v>150</v>
      </c>
      <c r="N23" s="162">
        <v>103.81</v>
      </c>
      <c r="O23" s="75">
        <v>150</v>
      </c>
      <c r="P23" s="75">
        <v>0</v>
      </c>
      <c r="Q23" s="75">
        <v>150</v>
      </c>
      <c r="R23" s="75">
        <v>15.74</v>
      </c>
      <c r="S23" s="75">
        <v>150</v>
      </c>
      <c r="T23" s="75">
        <v>100</v>
      </c>
      <c r="U23" s="75"/>
    </row>
    <row r="24" spans="1:21">
      <c r="A24" s="48" t="s">
        <v>457</v>
      </c>
      <c r="B24" s="31" t="s">
        <v>459</v>
      </c>
      <c r="C24" s="75">
        <v>800</v>
      </c>
      <c r="D24" s="75">
        <v>637.23</v>
      </c>
      <c r="E24" s="75">
        <v>750</v>
      </c>
      <c r="F24" s="75">
        <v>391.15</v>
      </c>
      <c r="G24" s="75">
        <v>1500</v>
      </c>
      <c r="H24" s="75">
        <v>995.34</v>
      </c>
      <c r="I24" s="75">
        <v>1250</v>
      </c>
      <c r="J24" s="75">
        <v>288.33999999999997</v>
      </c>
      <c r="K24" s="75">
        <v>600</v>
      </c>
      <c r="L24" s="75">
        <v>400.44</v>
      </c>
      <c r="M24" s="75">
        <v>600</v>
      </c>
      <c r="N24" s="162">
        <v>515.6</v>
      </c>
      <c r="O24" s="75">
        <v>500</v>
      </c>
      <c r="P24" s="75">
        <v>0</v>
      </c>
      <c r="Q24" s="75">
        <v>500</v>
      </c>
      <c r="R24" s="75">
        <v>348.74</v>
      </c>
      <c r="S24" s="75">
        <v>500</v>
      </c>
      <c r="T24" s="75">
        <v>500</v>
      </c>
      <c r="U24" s="75"/>
    </row>
    <row r="25" spans="1:21" hidden="1">
      <c r="A25" s="48" t="s">
        <v>460</v>
      </c>
      <c r="B25" s="31" t="s">
        <v>461</v>
      </c>
      <c r="C25" s="75">
        <v>300</v>
      </c>
      <c r="D25" s="75">
        <v>81.239999999999995</v>
      </c>
      <c r="E25" s="75">
        <v>0</v>
      </c>
      <c r="F25" s="75">
        <v>0</v>
      </c>
      <c r="G25" s="75">
        <v>0</v>
      </c>
      <c r="H25" s="75">
        <v>0</v>
      </c>
      <c r="I25" s="75">
        <v>0</v>
      </c>
      <c r="J25" s="75"/>
      <c r="K25" s="75">
        <v>0</v>
      </c>
      <c r="L25" s="75">
        <v>0</v>
      </c>
      <c r="M25" s="75">
        <v>0</v>
      </c>
      <c r="N25" s="162">
        <v>0</v>
      </c>
      <c r="O25" s="75">
        <v>0</v>
      </c>
      <c r="P25" s="75"/>
      <c r="Q25" s="75"/>
      <c r="R25" s="75"/>
      <c r="S25" s="75"/>
      <c r="T25" s="75"/>
      <c r="U25" s="75"/>
    </row>
    <row r="26" spans="1:21">
      <c r="A26" s="48" t="s">
        <v>457</v>
      </c>
      <c r="B26" s="31" t="s">
        <v>462</v>
      </c>
      <c r="C26" s="75">
        <v>1000</v>
      </c>
      <c r="D26" s="75">
        <v>900.2</v>
      </c>
      <c r="E26" s="75">
        <v>900</v>
      </c>
      <c r="F26" s="75">
        <v>351.21</v>
      </c>
      <c r="G26" s="75">
        <v>400</v>
      </c>
      <c r="H26" s="75">
        <v>289.58999999999997</v>
      </c>
      <c r="I26" s="75">
        <v>400</v>
      </c>
      <c r="J26" s="75">
        <v>471.76</v>
      </c>
      <c r="K26" s="75">
        <v>500</v>
      </c>
      <c r="L26" s="75">
        <v>586.88</v>
      </c>
      <c r="M26" s="75">
        <v>500</v>
      </c>
      <c r="N26" s="162">
        <v>400.66</v>
      </c>
      <c r="O26" s="75">
        <v>400</v>
      </c>
      <c r="P26" s="75">
        <v>0</v>
      </c>
      <c r="Q26" s="75">
        <v>400</v>
      </c>
      <c r="R26" s="75">
        <v>164.24</v>
      </c>
      <c r="S26" s="75">
        <v>300</v>
      </c>
      <c r="T26" s="75">
        <v>350</v>
      </c>
      <c r="U26" s="75"/>
    </row>
    <row r="27" spans="1:21" hidden="1">
      <c r="A27" s="48" t="s">
        <v>463</v>
      </c>
      <c r="B27" s="31" t="s">
        <v>464</v>
      </c>
      <c r="C27" s="75">
        <v>300</v>
      </c>
      <c r="D27" s="75">
        <v>55.75</v>
      </c>
      <c r="E27" s="75">
        <v>0</v>
      </c>
      <c r="F27" s="75">
        <v>0</v>
      </c>
      <c r="G27" s="75">
        <v>0</v>
      </c>
      <c r="H27" s="75">
        <v>0</v>
      </c>
      <c r="I27" s="75">
        <v>0</v>
      </c>
      <c r="J27" s="75">
        <v>0</v>
      </c>
      <c r="K27" s="75">
        <v>0</v>
      </c>
      <c r="L27" s="75">
        <v>0</v>
      </c>
      <c r="M27" s="75">
        <v>0</v>
      </c>
      <c r="N27" s="162">
        <v>0</v>
      </c>
      <c r="O27" s="75">
        <v>0</v>
      </c>
      <c r="P27" s="75"/>
      <c r="Q27" s="75"/>
      <c r="R27" s="75"/>
      <c r="S27" s="75"/>
      <c r="T27" s="75"/>
      <c r="U27" s="75"/>
    </row>
    <row r="28" spans="1:21" hidden="1">
      <c r="A28" s="48"/>
      <c r="B28" s="35" t="s">
        <v>316</v>
      </c>
      <c r="C28" s="75">
        <v>0</v>
      </c>
      <c r="D28" s="75">
        <v>0</v>
      </c>
      <c r="E28" s="75">
        <v>0</v>
      </c>
      <c r="F28" s="75">
        <v>0</v>
      </c>
      <c r="G28" s="75">
        <v>0</v>
      </c>
      <c r="H28" s="75">
        <v>0</v>
      </c>
      <c r="I28" s="75">
        <v>300</v>
      </c>
      <c r="J28" s="75">
        <v>0</v>
      </c>
      <c r="K28" s="75">
        <v>0</v>
      </c>
      <c r="L28" s="75">
        <v>0</v>
      </c>
      <c r="M28" s="75">
        <v>0</v>
      </c>
      <c r="N28" s="162">
        <v>0</v>
      </c>
      <c r="O28" s="75">
        <v>0</v>
      </c>
      <c r="P28" s="75"/>
      <c r="Q28" s="75"/>
      <c r="R28" s="75"/>
      <c r="S28" s="75"/>
      <c r="T28" s="75"/>
      <c r="U28" s="75"/>
    </row>
    <row r="29" spans="1:21" hidden="1">
      <c r="A29" s="48"/>
      <c r="B29" s="35" t="s">
        <v>465</v>
      </c>
      <c r="C29" s="75">
        <v>0</v>
      </c>
      <c r="D29" s="75">
        <v>0</v>
      </c>
      <c r="E29" s="75">
        <v>0</v>
      </c>
      <c r="F29" s="75">
        <v>0</v>
      </c>
      <c r="G29" s="75">
        <v>0</v>
      </c>
      <c r="H29" s="75">
        <v>0</v>
      </c>
      <c r="I29" s="75">
        <v>300</v>
      </c>
      <c r="J29" s="75">
        <v>0</v>
      </c>
      <c r="K29" s="75">
        <v>0</v>
      </c>
      <c r="L29" s="75">
        <v>0</v>
      </c>
      <c r="M29" s="75">
        <v>0</v>
      </c>
      <c r="N29" s="162">
        <v>0</v>
      </c>
      <c r="O29" s="75">
        <v>0</v>
      </c>
      <c r="P29" s="75"/>
      <c r="Q29" s="75"/>
      <c r="R29" s="75"/>
      <c r="S29" s="75"/>
      <c r="T29" s="75"/>
      <c r="U29" s="75"/>
    </row>
    <row r="30" spans="1:21" hidden="1">
      <c r="A30" s="48"/>
      <c r="B30" s="35" t="s">
        <v>466</v>
      </c>
      <c r="C30" s="75">
        <v>0</v>
      </c>
      <c r="D30" s="75">
        <v>0</v>
      </c>
      <c r="E30" s="75">
        <v>0</v>
      </c>
      <c r="F30" s="75">
        <v>0</v>
      </c>
      <c r="G30" s="75">
        <v>0</v>
      </c>
      <c r="H30" s="75">
        <v>0</v>
      </c>
      <c r="I30" s="75">
        <v>300</v>
      </c>
      <c r="J30" s="75">
        <v>0</v>
      </c>
      <c r="K30" s="75">
        <v>0</v>
      </c>
      <c r="L30" s="75">
        <v>0</v>
      </c>
      <c r="M30" s="75">
        <v>0</v>
      </c>
      <c r="N30" s="162">
        <v>0</v>
      </c>
      <c r="O30" s="75">
        <v>0</v>
      </c>
      <c r="P30" s="75"/>
      <c r="Q30" s="75"/>
      <c r="R30" s="75"/>
      <c r="S30" s="75"/>
      <c r="T30" s="75"/>
      <c r="U30" s="75"/>
    </row>
    <row r="31" spans="1:21" hidden="1">
      <c r="A31" s="48"/>
      <c r="B31" s="35" t="s">
        <v>467</v>
      </c>
      <c r="C31" s="75">
        <v>0</v>
      </c>
      <c r="D31" s="75">
        <v>0</v>
      </c>
      <c r="E31" s="75">
        <v>0</v>
      </c>
      <c r="F31" s="75">
        <v>0</v>
      </c>
      <c r="G31" s="75">
        <v>0</v>
      </c>
      <c r="H31" s="75">
        <v>0</v>
      </c>
      <c r="I31" s="75">
        <v>300</v>
      </c>
      <c r="J31" s="75">
        <v>0</v>
      </c>
      <c r="K31" s="75">
        <v>0</v>
      </c>
      <c r="L31" s="75">
        <v>0</v>
      </c>
      <c r="M31" s="75">
        <v>0</v>
      </c>
      <c r="N31" s="162">
        <v>0</v>
      </c>
      <c r="O31" s="75">
        <v>0</v>
      </c>
      <c r="P31" s="75"/>
      <c r="Q31" s="75"/>
      <c r="R31" s="75"/>
      <c r="S31" s="75"/>
      <c r="T31" s="75"/>
      <c r="U31" s="75"/>
    </row>
    <row r="32" spans="1:21">
      <c r="A32" s="48" t="s">
        <v>457</v>
      </c>
      <c r="B32" s="31" t="s">
        <v>468</v>
      </c>
      <c r="C32" s="75">
        <v>0</v>
      </c>
      <c r="D32" s="75">
        <v>0</v>
      </c>
      <c r="E32" s="75">
        <v>0</v>
      </c>
      <c r="F32" s="75">
        <v>0</v>
      </c>
      <c r="G32" s="75">
        <v>0</v>
      </c>
      <c r="H32" s="75">
        <v>0</v>
      </c>
      <c r="I32" s="75">
        <v>400</v>
      </c>
      <c r="J32" s="75">
        <v>0</v>
      </c>
      <c r="K32" s="75">
        <v>400</v>
      </c>
      <c r="L32" s="75">
        <v>0</v>
      </c>
      <c r="M32" s="75">
        <v>400</v>
      </c>
      <c r="N32" s="162">
        <v>0</v>
      </c>
      <c r="O32" s="75">
        <v>400</v>
      </c>
      <c r="P32" s="75">
        <v>0</v>
      </c>
      <c r="Q32" s="75">
        <v>400</v>
      </c>
      <c r="R32" s="75"/>
      <c r="S32" s="75">
        <v>300</v>
      </c>
      <c r="T32" s="75">
        <v>300</v>
      </c>
      <c r="U32" s="75"/>
    </row>
    <row r="33" spans="1:21">
      <c r="A33" s="48" t="s">
        <v>469</v>
      </c>
      <c r="B33" s="31" t="s">
        <v>260</v>
      </c>
      <c r="C33" s="75">
        <v>0</v>
      </c>
      <c r="D33" s="75">
        <v>0</v>
      </c>
      <c r="E33" s="75">
        <v>0</v>
      </c>
      <c r="F33" s="75">
        <v>0</v>
      </c>
      <c r="G33" s="75">
        <v>0</v>
      </c>
      <c r="H33" s="75">
        <v>0</v>
      </c>
      <c r="I33" s="75">
        <v>510</v>
      </c>
      <c r="J33" s="75">
        <v>287.18</v>
      </c>
      <c r="K33" s="75">
        <v>500</v>
      </c>
      <c r="L33" s="75">
        <v>631.11</v>
      </c>
      <c r="M33" s="75">
        <v>500</v>
      </c>
      <c r="N33" s="162">
        <v>485.33</v>
      </c>
      <c r="O33" s="75">
        <v>550</v>
      </c>
      <c r="P33" s="75">
        <v>567.16</v>
      </c>
      <c r="Q33" s="75">
        <v>550</v>
      </c>
      <c r="R33" s="75">
        <v>529.36</v>
      </c>
      <c r="S33" s="75">
        <v>550</v>
      </c>
      <c r="T33" s="75">
        <v>600</v>
      </c>
      <c r="U33" s="75"/>
    </row>
    <row r="34" spans="1:21">
      <c r="A34" s="49" t="s">
        <v>457</v>
      </c>
      <c r="B34" s="35" t="s">
        <v>470</v>
      </c>
      <c r="C34" s="75">
        <v>0</v>
      </c>
      <c r="D34" s="75">
        <v>0</v>
      </c>
      <c r="E34" s="75">
        <v>0</v>
      </c>
      <c r="F34" s="75">
        <v>0</v>
      </c>
      <c r="G34" s="75">
        <v>0</v>
      </c>
      <c r="H34" s="75">
        <v>0</v>
      </c>
      <c r="I34" s="75">
        <v>0</v>
      </c>
      <c r="J34" s="75">
        <v>0</v>
      </c>
      <c r="K34" s="75">
        <v>0</v>
      </c>
      <c r="L34" s="75">
        <v>0</v>
      </c>
      <c r="M34" s="75">
        <v>0</v>
      </c>
      <c r="N34" s="162">
        <v>0</v>
      </c>
      <c r="O34" s="75">
        <v>600</v>
      </c>
      <c r="P34" s="75"/>
      <c r="Q34" s="75">
        <v>700</v>
      </c>
      <c r="R34" s="75">
        <v>649.15</v>
      </c>
      <c r="S34" s="75">
        <v>900</v>
      </c>
      <c r="T34" s="75">
        <v>800</v>
      </c>
      <c r="U34" s="75"/>
    </row>
    <row r="35" spans="1:21">
      <c r="A35" s="49" t="s">
        <v>457</v>
      </c>
      <c r="B35" s="35" t="s">
        <v>471</v>
      </c>
      <c r="C35" s="75">
        <v>0</v>
      </c>
      <c r="D35" s="75">
        <v>0</v>
      </c>
      <c r="E35" s="75">
        <v>0</v>
      </c>
      <c r="F35" s="75">
        <v>0</v>
      </c>
      <c r="G35" s="75">
        <v>0</v>
      </c>
      <c r="H35" s="75">
        <v>0</v>
      </c>
      <c r="I35" s="75">
        <v>0</v>
      </c>
      <c r="J35" s="75">
        <v>0</v>
      </c>
      <c r="K35" s="75">
        <v>0</v>
      </c>
      <c r="L35" s="75">
        <v>0</v>
      </c>
      <c r="M35" s="75">
        <v>0</v>
      </c>
      <c r="N35" s="162">
        <v>0</v>
      </c>
      <c r="O35" s="75">
        <v>300</v>
      </c>
      <c r="P35" s="75"/>
      <c r="Q35" s="75">
        <v>200</v>
      </c>
      <c r="R35" s="75"/>
      <c r="S35" s="75"/>
      <c r="T35" s="75"/>
      <c r="U35" s="75"/>
    </row>
    <row r="36" spans="1:21">
      <c r="A36" s="26"/>
      <c r="B36" s="8" t="s">
        <v>13</v>
      </c>
      <c r="C36" s="478">
        <f>SUBTOTAL(109,WomensCentreExpenses[Budget 10/11])</f>
        <v>6562.22</v>
      </c>
      <c r="D36" s="478">
        <f>SUBTOTAL(109,WomensCentreExpenses[Actual 10/11])</f>
        <v>5608.36</v>
      </c>
      <c r="E36" s="478">
        <f>SUBTOTAL(109,WomensCentreExpenses[Budget 11/12])</f>
        <v>11322.2</v>
      </c>
      <c r="F36" s="478">
        <f>SUBTOTAL(109,WomensCentreExpenses[Actual 11/12])</f>
        <v>7945.32</v>
      </c>
      <c r="G36" s="478">
        <f>SUBTOTAL(109,WomensCentreExpenses[Budget 12/13])</f>
        <v>6025</v>
      </c>
      <c r="H36" s="478">
        <f>SUBTOTAL(109,WomensCentreExpenses[Actual 12/13])</f>
        <v>4635.8500000000004</v>
      </c>
      <c r="I36" s="478">
        <f>SUBTOTAL(109,WomensCentreExpenses[Budget 13/14])</f>
        <v>5215</v>
      </c>
      <c r="J36" s="478">
        <f>SUBTOTAL(109,WomensCentreExpenses[Actual 13/14])</f>
        <v>3784.5399999999995</v>
      </c>
      <c r="K36" s="478">
        <f>SUBTOTAL(109,WomensCentreExpenses[Budget 14/15])</f>
        <v>5075</v>
      </c>
      <c r="L36" s="478">
        <f>SUBTOTAL(109,WomensCentreExpenses[Actual 14/15])</f>
        <v>5646.6299999999992</v>
      </c>
      <c r="M36" s="478">
        <f>SUBTOTAL(109,WomensCentreExpenses[Budget 15/16])</f>
        <v>5700</v>
      </c>
      <c r="N36" s="479">
        <f>SUBTOTAL(109,WomensCentreExpenses[Actual 15/16])</f>
        <v>5694.2800000000007</v>
      </c>
      <c r="O36" s="478">
        <f>SUBTOTAL(109,WomensCentreExpenses[Budget 16/17])</f>
        <v>5950</v>
      </c>
      <c r="P36" s="478">
        <f>SUBTOTAL(109,WomensCentreExpenses[Actual 16/17])</f>
        <v>5282.6900000000005</v>
      </c>
      <c r="Q36" s="478">
        <f>SUBTOTAL(109,WomensCentreExpenses[Budget 17/18])</f>
        <v>7150</v>
      </c>
      <c r="R36" s="191">
        <f>SUM(WomensCentreExpenses[Actual 17/18])</f>
        <v>4323.51</v>
      </c>
      <c r="S36" s="191">
        <f>SUM(WomensCentreExpenses[Budget 18/19])</f>
        <v>6510</v>
      </c>
      <c r="T36" s="191">
        <f>SUM(WomensCentreExpenses[Budget 19/20])</f>
        <v>6315</v>
      </c>
      <c r="U36" s="191"/>
    </row>
    <row r="38" spans="1:21" ht="13.5" thickBot="1">
      <c r="B38" s="26"/>
      <c r="C38" s="20"/>
      <c r="D38" s="20"/>
      <c r="E38" s="20"/>
      <c r="F38" s="20"/>
      <c r="G38" s="20"/>
      <c r="H38" s="20"/>
      <c r="I38" s="20"/>
      <c r="J38" s="20"/>
      <c r="K38" s="20"/>
      <c r="L38" s="20"/>
      <c r="M38" s="20"/>
    </row>
    <row r="39" spans="1:21" ht="19.5" thickBot="1">
      <c r="B39" s="452" t="s">
        <v>102</v>
      </c>
      <c r="C39" s="27">
        <f>WomensCentreRevenues[[#Totals],[Budget 10/11]]-WomensCentreExpenses[[#Totals],[Budget 10/11]]</f>
        <v>-6562.22</v>
      </c>
      <c r="D39" s="27">
        <f>WomensCentreRevenues[[#Totals],[Actual 10/11]]-WomensCentreExpenses[[#Totals],[Actual 10/11]]</f>
        <v>-5608.36</v>
      </c>
      <c r="E39" s="27">
        <f>WomensCentreRevenues[[#Totals],[Budget 11/12]]-WomensCentreExpenses[[#Totals],[Budget 11/12]]</f>
        <v>-11322.2</v>
      </c>
      <c r="F39" s="27">
        <f>WomensCentreRevenues[[#Totals],[Actual 11/12]]-WomensCentreExpenses[[#Totals],[Actual 11/12]]</f>
        <v>-7430.66</v>
      </c>
      <c r="G39" s="27">
        <f>WomensCentreRevenues[[#Totals],[Budget 12/13]]-WomensCentreExpenses[[#Totals],[Budget 12/13]]</f>
        <v>-6025</v>
      </c>
      <c r="H39" s="27">
        <f>WomensCentreRevenues[[#Totals],[Actual 12/13]]-WomensCentreExpenses[[#Totals],[Actual 12/13]]</f>
        <v>-4635.8500000000004</v>
      </c>
      <c r="I39" s="27">
        <f>WomensCentreRevenues[[#Totals],[Budget 13/14]]-WomensCentreExpenses[[#Totals],[Budget 13/14]]</f>
        <v>-5215</v>
      </c>
      <c r="J39" s="27">
        <f>WomensCentreRevenues[[#Totals],[Actual 13/14]]-WomensCentreExpenses[[#Totals],[Actual 13/14]]</f>
        <v>-3784.5399999999995</v>
      </c>
      <c r="K39" s="27">
        <f>WomensCentreRevenues[[#Totals],[Budget 14/15]]-WomensCentreExpenses[[#Totals],[Budget 14/15]]</f>
        <v>-5075</v>
      </c>
      <c r="L39" s="27">
        <f>WomensCentreRevenues[[#Totals],[Actual 14/15]]-WomensCentreExpenses[[#Totals],[Actual 14/15]]</f>
        <v>-5421.6299999999992</v>
      </c>
      <c r="M39" s="27">
        <f>WomensCentreRevenues[[#Totals],[Budget 15/16]]-WomensCentreExpenses[[#Totals],[Budget 15/16]]</f>
        <v>-5700</v>
      </c>
      <c r="N39" s="27">
        <f>WomensCentreRevenues[[#Totals],[Actual 15/16]]-WomensCentreExpenses[[#Totals],[Actual 15/16]]</f>
        <v>-5087.5300000000007</v>
      </c>
      <c r="O39" s="66">
        <f>WomensCentreRevenues[[#Totals],[Budget 16/17]]-WomensCentreExpenses[[#Totals],[Budget 16/17]]</f>
        <v>-5950</v>
      </c>
      <c r="P39" s="66">
        <f>WomensCentreRevenues[[#Totals],[Actual 16/17]]-WomensCentreExpenses[[#Totals],[Actual 16/17]]</f>
        <v>-5282.6900000000005</v>
      </c>
      <c r="Q39" s="66">
        <f>WomensCentreRevenues[[#Totals],[Budget 17/18]]-WomensCentreExpenses[[#Totals],[Budget 17/18]]</f>
        <v>-7150</v>
      </c>
      <c r="R39" s="66">
        <f>WomensCentreRevenues[[#Totals],[Actual 17/18]]-WomensCentreExpenses[[#Totals],[Actual 17/18]]</f>
        <v>-4323.51</v>
      </c>
      <c r="S39" s="66">
        <f>WomensCentreRevenues[[#Totals],[Budget 18/19]]-WomensCentreExpenses[[#Totals],[Budget 18/19]]</f>
        <v>-6510</v>
      </c>
      <c r="T39" s="66">
        <f>WomensCentreRevenues[[#Totals],[Budget 19/20]]-WomensCentreExpenses[[#Totals],[Budget 19/20]]</f>
        <v>-6315</v>
      </c>
      <c r="U39" s="66"/>
    </row>
    <row r="43" spans="1:21">
      <c r="E43"/>
      <c r="F43"/>
      <c r="G43"/>
      <c r="H43"/>
      <c r="I43"/>
      <c r="J43"/>
      <c r="K43"/>
      <c r="L43"/>
      <c r="M43"/>
      <c r="N43" s="148"/>
    </row>
    <row r="44" spans="1:21">
      <c r="E44"/>
      <c r="F44"/>
      <c r="G44"/>
      <c r="H44"/>
      <c r="I44"/>
      <c r="J44"/>
      <c r="K44"/>
      <c r="L44"/>
      <c r="M44"/>
      <c r="N44" s="148"/>
    </row>
    <row r="45" spans="1:21">
      <c r="E45"/>
      <c r="F45"/>
      <c r="G45"/>
      <c r="H45"/>
      <c r="I45"/>
      <c r="J45"/>
      <c r="K45"/>
      <c r="L45"/>
      <c r="M45"/>
      <c r="N45" s="148"/>
    </row>
    <row r="46" spans="1:21">
      <c r="E46"/>
      <c r="F46"/>
      <c r="G46"/>
      <c r="H46"/>
      <c r="I46"/>
      <c r="J46"/>
      <c r="K46"/>
      <c r="L46"/>
      <c r="M46"/>
      <c r="N46" s="148"/>
    </row>
    <row r="47" spans="1:21">
      <c r="E47"/>
      <c r="F47"/>
      <c r="G47"/>
      <c r="H47"/>
      <c r="I47"/>
      <c r="J47"/>
      <c r="K47"/>
      <c r="L47"/>
      <c r="M47"/>
      <c r="N47" s="148"/>
    </row>
    <row r="48" spans="1:21">
      <c r="E48"/>
      <c r="F48"/>
      <c r="G48"/>
      <c r="H48"/>
      <c r="I48"/>
      <c r="J48"/>
      <c r="K48"/>
      <c r="L48"/>
      <c r="M48"/>
      <c r="N48" s="148"/>
    </row>
    <row r="49" spans="5:14">
      <c r="E49"/>
      <c r="F49"/>
      <c r="G49"/>
      <c r="H49"/>
      <c r="I49"/>
      <c r="J49"/>
      <c r="K49"/>
      <c r="L49"/>
      <c r="M49"/>
      <c r="N49" s="148"/>
    </row>
    <row r="50" spans="5:14">
      <c r="E50"/>
      <c r="F50"/>
      <c r="G50"/>
      <c r="H50"/>
      <c r="I50"/>
      <c r="J50"/>
      <c r="K50"/>
      <c r="L50"/>
      <c r="M50"/>
      <c r="N50" s="148"/>
    </row>
    <row r="51" spans="5:14">
      <c r="E51"/>
      <c r="F51"/>
      <c r="G51"/>
      <c r="H51"/>
      <c r="I51"/>
      <c r="J51"/>
      <c r="K51"/>
      <c r="L51"/>
      <c r="M51"/>
      <c r="N51" s="148"/>
    </row>
    <row r="52" spans="5:14">
      <c r="E52"/>
      <c r="F52"/>
      <c r="G52"/>
      <c r="H52"/>
      <c r="I52"/>
      <c r="J52"/>
      <c r="K52"/>
      <c r="L52"/>
      <c r="M52"/>
      <c r="N52" s="148"/>
    </row>
  </sheetData>
  <sortState xmlns:xlrd2="http://schemas.microsoft.com/office/spreadsheetml/2017/richdata2" ref="L12:N21">
    <sortCondition ref="L11"/>
  </sortState>
  <customSheetViews>
    <customSheetView guid="{DC934874-AE9C-4DF4-8DA8-4394DABABB42}" showRuler="0">
      <selection activeCell="G19" sqref="G19"/>
      <pageMargins left="0" right="0" top="0" bottom="0" header="0" footer="0"/>
      <pageSetup orientation="portrait"/>
      <headerFooter alignWithMargins="0"/>
    </customSheetView>
    <customSheetView guid="{7FD89B2E-4983-4B8D-ABA2-A07F685A0C6E}" showRuler="0">
      <selection activeCell="A6" sqref="A6"/>
      <pageMargins left="0" right="0" top="0" bottom="0" header="0" footer="0"/>
      <pageSetup orientation="portrait"/>
      <headerFooter alignWithMargins="0"/>
    </customSheetView>
    <customSheetView guid="{84D8AC11-A493-4338-8044-6F4154C29695}" showRuler="0">
      <selection sqref="A1:IV65536"/>
      <pageMargins left="0" right="0" top="0" bottom="0" header="0" footer="0"/>
      <pageSetup orientation="portrait"/>
      <headerFooter alignWithMargins="0"/>
    </customSheetView>
    <customSheetView guid="{BB157E55-0A2E-4D9F-A3BF-E83E5442FC27}" showPageBreaks="1" showRuler="0">
      <selection activeCell="A12" sqref="A12"/>
      <pageMargins left="0" right="0" top="0" bottom="0" header="0" footer="0"/>
      <pageSetup orientation="portrait"/>
      <headerFooter alignWithMargins="0"/>
    </customSheetView>
  </customSheetViews>
  <mergeCells count="2">
    <mergeCell ref="A1:B1"/>
    <mergeCell ref="A3:B3"/>
  </mergeCells>
  <phoneticPr fontId="0" type="noConversion"/>
  <pageMargins left="0" right="0" top="0.98425196850393704" bottom="0.98425196850393704" header="0.51181102362204722" footer="0.51181102362204722"/>
  <pageSetup scale="88" orientation="landscape" blackAndWhite="1" r:id="rId1"/>
  <headerFooter alignWithMargins="0"/>
  <legacyDrawing r:id="rId2"/>
  <tableParts count="2">
    <tablePart r:id="rId3"/>
    <tablePart r:id="rId4"/>
  </tablePar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tabColor theme="1"/>
  </sheetPr>
  <dimension ref="A1:K40"/>
  <sheetViews>
    <sheetView zoomScale="90" zoomScaleNormal="90" workbookViewId="0">
      <selection activeCell="P27" sqref="P27"/>
    </sheetView>
  </sheetViews>
  <sheetFormatPr defaultRowHeight="12.75"/>
  <cols>
    <col min="1" max="1" width="13.7109375" customWidth="1"/>
    <col min="2" max="2" width="25.7109375" customWidth="1"/>
    <col min="3" max="3" width="15.85546875" hidden="1" customWidth="1"/>
    <col min="4" max="4" width="13.28515625" style="148" hidden="1" customWidth="1"/>
    <col min="5" max="6" width="14.5703125" hidden="1" customWidth="1"/>
    <col min="7" max="7" width="15.140625" customWidth="1"/>
    <col min="8" max="8" width="17.140625" customWidth="1"/>
    <col min="9" max="9" width="14.140625" customWidth="1"/>
    <col min="10" max="10" width="16" bestFit="1" customWidth="1"/>
    <col min="11" max="11" width="14.5703125" bestFit="1" customWidth="1"/>
  </cols>
  <sheetData>
    <row r="1" spans="1:11" ht="18">
      <c r="A1" s="534" t="s">
        <v>472</v>
      </c>
      <c r="B1" s="536"/>
      <c r="C1" s="18"/>
      <c r="D1" s="138"/>
      <c r="E1" s="8"/>
    </row>
    <row r="2" spans="1:11">
      <c r="A2" s="28" t="s">
        <v>186</v>
      </c>
      <c r="B2" s="8"/>
      <c r="C2" s="18"/>
      <c r="D2" s="138"/>
      <c r="E2" s="8"/>
    </row>
    <row r="3" spans="1:11">
      <c r="A3" s="18"/>
      <c r="B3" s="18"/>
      <c r="C3" s="18"/>
      <c r="D3" s="138"/>
      <c r="E3" s="8"/>
    </row>
    <row r="4" spans="1:11">
      <c r="A4" s="18"/>
      <c r="B4" s="18" t="s">
        <v>47</v>
      </c>
      <c r="C4" s="18" t="s">
        <v>29</v>
      </c>
      <c r="D4" s="124" t="s">
        <v>30</v>
      </c>
      <c r="E4" s="8" t="s">
        <v>31</v>
      </c>
      <c r="F4" s="8" t="s">
        <v>32</v>
      </c>
      <c r="G4" s="8" t="s">
        <v>33</v>
      </c>
      <c r="H4" s="8" t="s">
        <v>34</v>
      </c>
      <c r="I4" s="8" t="s">
        <v>6</v>
      </c>
      <c r="J4" s="8" t="s">
        <v>8</v>
      </c>
      <c r="K4" s="8" t="s">
        <v>35</v>
      </c>
    </row>
    <row r="5" spans="1:11">
      <c r="A5" s="215" t="s">
        <v>473</v>
      </c>
      <c r="B5" s="18" t="s">
        <v>295</v>
      </c>
      <c r="C5" s="17">
        <v>0</v>
      </c>
      <c r="D5" s="149">
        <v>466</v>
      </c>
      <c r="E5" s="17">
        <v>0</v>
      </c>
      <c r="F5" s="189">
        <v>8314.61</v>
      </c>
      <c r="G5" s="189">
        <v>2000</v>
      </c>
      <c r="H5" s="189">
        <v>12958.27</v>
      </c>
      <c r="I5" s="189">
        <v>11000</v>
      </c>
      <c r="J5" s="189">
        <v>4500</v>
      </c>
      <c r="K5" s="189"/>
    </row>
    <row r="6" spans="1:11">
      <c r="A6" s="18"/>
      <c r="B6" s="18" t="s">
        <v>474</v>
      </c>
      <c r="C6" s="17">
        <v>0</v>
      </c>
      <c r="D6" s="163">
        <v>0</v>
      </c>
      <c r="E6" s="17">
        <v>0</v>
      </c>
      <c r="F6" s="189"/>
      <c r="G6" s="189"/>
      <c r="H6" s="189"/>
      <c r="I6" s="189"/>
      <c r="J6" s="189">
        <v>8000</v>
      </c>
      <c r="K6" s="189"/>
    </row>
    <row r="7" spans="1:11">
      <c r="A7" s="18"/>
      <c r="B7" s="8" t="s">
        <v>13</v>
      </c>
      <c r="C7" s="16">
        <f>SUBTOTAL(109,BikeCentreRevenues[Budget 15/16])</f>
        <v>0</v>
      </c>
      <c r="D7" s="140">
        <f>SUBTOTAL(109,BikeCentreRevenues[Actual 15/16])</f>
        <v>466</v>
      </c>
      <c r="E7" s="16">
        <f>SUBTOTAL(109,BikeCentreRevenues[Budget 16/17])</f>
        <v>0</v>
      </c>
      <c r="F7" s="16">
        <f>SUBTOTAL(109,BikeCentreRevenues[Actual 16/17])</f>
        <v>8314.61</v>
      </c>
      <c r="G7" s="16">
        <f>SUBTOTAL(109,BikeCentreRevenues[Budget 17/18])</f>
        <v>2000</v>
      </c>
      <c r="H7" s="1">
        <f>SUM(BikeCentreRevenues[Actual 17/18])</f>
        <v>12958.27</v>
      </c>
      <c r="I7" s="1">
        <f>SUM(BikeCentreRevenues[Budget 18/19])</f>
        <v>11000</v>
      </c>
      <c r="J7" s="1">
        <f>SUM(BikeCentreRevenues[Budget 19/20])</f>
        <v>12500</v>
      </c>
      <c r="K7" s="1"/>
    </row>
    <row r="8" spans="1:11">
      <c r="A8" s="18"/>
      <c r="B8" s="18"/>
      <c r="C8" s="17"/>
      <c r="D8" s="163"/>
      <c r="E8" s="17"/>
    </row>
    <row r="9" spans="1:11">
      <c r="B9" s="18"/>
      <c r="C9" s="18"/>
      <c r="D9" s="163"/>
      <c r="E9" s="17"/>
    </row>
    <row r="10" spans="1:11">
      <c r="A10" s="92" t="s">
        <v>60</v>
      </c>
      <c r="B10" s="18" t="s">
        <v>61</v>
      </c>
      <c r="C10" s="18" t="s">
        <v>29</v>
      </c>
      <c r="D10" s="124" t="s">
        <v>30</v>
      </c>
      <c r="E10" s="8" t="s">
        <v>31</v>
      </c>
      <c r="F10" s="8" t="s">
        <v>32</v>
      </c>
      <c r="G10" s="8" t="s">
        <v>33</v>
      </c>
      <c r="H10" s="8" t="s">
        <v>34</v>
      </c>
      <c r="I10" s="8" t="s">
        <v>6</v>
      </c>
      <c r="J10" s="8" t="s">
        <v>8</v>
      </c>
      <c r="K10" s="8" t="s">
        <v>35</v>
      </c>
    </row>
    <row r="11" spans="1:11">
      <c r="A11" s="216" t="s">
        <v>475</v>
      </c>
      <c r="B11" s="18" t="s">
        <v>341</v>
      </c>
      <c r="C11" s="17">
        <v>570</v>
      </c>
      <c r="D11" s="163">
        <v>280.95999999999998</v>
      </c>
      <c r="E11" s="17">
        <v>2080</v>
      </c>
      <c r="F11" s="189">
        <v>303.07</v>
      </c>
      <c r="G11" s="189">
        <v>2080</v>
      </c>
      <c r="H11" s="189">
        <v>2059.46</v>
      </c>
      <c r="I11" s="189">
        <v>900</v>
      </c>
      <c r="J11" s="189">
        <v>1140</v>
      </c>
      <c r="K11" s="189"/>
    </row>
    <row r="12" spans="1:11">
      <c r="A12" s="216" t="s">
        <v>476</v>
      </c>
      <c r="B12" s="18" t="s">
        <v>70</v>
      </c>
      <c r="C12" s="17">
        <v>275</v>
      </c>
      <c r="D12" s="163">
        <v>22.85</v>
      </c>
      <c r="E12" s="17">
        <v>275</v>
      </c>
      <c r="F12" s="189">
        <v>258.67</v>
      </c>
      <c r="G12" s="189">
        <v>275</v>
      </c>
      <c r="H12" s="189">
        <v>326.35000000000002</v>
      </c>
      <c r="I12" s="189">
        <v>275</v>
      </c>
      <c r="J12" s="189">
        <v>275</v>
      </c>
      <c r="K12" s="189"/>
    </row>
    <row r="13" spans="1:11">
      <c r="A13" s="216" t="s">
        <v>477</v>
      </c>
      <c r="B13" s="18" t="s">
        <v>77</v>
      </c>
      <c r="C13" s="17">
        <v>50</v>
      </c>
      <c r="D13" s="163">
        <v>0</v>
      </c>
      <c r="E13" s="17">
        <v>50</v>
      </c>
      <c r="F13" s="189"/>
      <c r="G13" s="189">
        <v>50</v>
      </c>
      <c r="H13" s="189">
        <v>79.84</v>
      </c>
      <c r="I13" s="189">
        <v>50</v>
      </c>
      <c r="J13" s="189">
        <v>50</v>
      </c>
      <c r="K13" s="189"/>
    </row>
    <row r="14" spans="1:11">
      <c r="A14" s="216" t="s">
        <v>478</v>
      </c>
      <c r="B14" s="18" t="s">
        <v>226</v>
      </c>
      <c r="C14" s="17">
        <v>200</v>
      </c>
      <c r="D14" s="163">
        <v>16.46</v>
      </c>
      <c r="E14" s="17">
        <v>250</v>
      </c>
      <c r="F14" s="189">
        <v>524.95000000000005</v>
      </c>
      <c r="G14" s="189">
        <v>200</v>
      </c>
      <c r="H14" s="189">
        <v>1305.78</v>
      </c>
      <c r="I14" s="189">
        <v>175</v>
      </c>
      <c r="J14" s="189">
        <v>155</v>
      </c>
      <c r="K14" s="189"/>
    </row>
    <row r="15" spans="1:11">
      <c r="A15" s="216" t="s">
        <v>479</v>
      </c>
      <c r="B15" s="18" t="s">
        <v>480</v>
      </c>
      <c r="C15" s="17">
        <v>600</v>
      </c>
      <c r="D15" s="163">
        <v>0</v>
      </c>
      <c r="E15" s="17">
        <v>600</v>
      </c>
      <c r="F15" s="189">
        <v>3565.19</v>
      </c>
      <c r="G15" s="189"/>
      <c r="H15" s="189">
        <v>3031.78</v>
      </c>
      <c r="I15" s="189">
        <v>2500</v>
      </c>
      <c r="J15" s="480">
        <v>2000</v>
      </c>
      <c r="K15" s="189"/>
    </row>
    <row r="16" spans="1:11">
      <c r="A16" s="216" t="s">
        <v>481</v>
      </c>
      <c r="B16" s="18" t="s">
        <v>482</v>
      </c>
      <c r="C16" s="17">
        <v>500</v>
      </c>
      <c r="D16" s="163">
        <v>0</v>
      </c>
      <c r="E16" s="17">
        <v>0</v>
      </c>
      <c r="F16" s="189"/>
      <c r="G16" s="189"/>
      <c r="H16" s="189"/>
      <c r="I16" s="189">
        <v>3000</v>
      </c>
      <c r="J16" s="480">
        <v>2000</v>
      </c>
      <c r="K16" s="189"/>
    </row>
    <row r="17" spans="1:11">
      <c r="A17" s="216" t="s">
        <v>483</v>
      </c>
      <c r="B17" s="18" t="s">
        <v>81</v>
      </c>
      <c r="C17" s="17">
        <v>200</v>
      </c>
      <c r="D17" s="163">
        <v>116.26</v>
      </c>
      <c r="E17" s="17">
        <v>500</v>
      </c>
      <c r="F17" s="189"/>
      <c r="G17" s="189"/>
      <c r="H17" s="189">
        <v>1215.3900000000001</v>
      </c>
      <c r="I17" s="189">
        <v>600</v>
      </c>
      <c r="J17" s="189">
        <v>600</v>
      </c>
      <c r="K17" s="189"/>
    </row>
    <row r="18" spans="1:11">
      <c r="A18" s="216" t="s">
        <v>484</v>
      </c>
      <c r="B18" s="18" t="s">
        <v>228</v>
      </c>
      <c r="C18" s="17">
        <v>0</v>
      </c>
      <c r="D18" s="163">
        <v>16.489999999999998</v>
      </c>
      <c r="E18" s="17">
        <v>900</v>
      </c>
      <c r="F18" s="189"/>
      <c r="G18" s="189"/>
      <c r="H18" s="189">
        <v>18</v>
      </c>
      <c r="I18" s="189">
        <v>700</v>
      </c>
      <c r="J18" s="189">
        <v>700</v>
      </c>
      <c r="K18" s="189"/>
    </row>
    <row r="19" spans="1:11">
      <c r="A19" s="91"/>
      <c r="B19" s="18" t="s">
        <v>289</v>
      </c>
      <c r="C19" s="17">
        <v>0</v>
      </c>
      <c r="D19" s="163">
        <v>0</v>
      </c>
      <c r="E19" s="17">
        <v>0</v>
      </c>
      <c r="F19" s="189"/>
      <c r="G19" s="189"/>
      <c r="H19" s="189"/>
      <c r="I19" s="189"/>
      <c r="J19" s="189"/>
      <c r="K19" s="189"/>
    </row>
    <row r="20" spans="1:11">
      <c r="A20" s="91"/>
      <c r="B20" s="18" t="s">
        <v>485</v>
      </c>
      <c r="C20" s="17">
        <v>900</v>
      </c>
      <c r="D20" s="163">
        <v>0</v>
      </c>
      <c r="E20" s="17">
        <v>0</v>
      </c>
      <c r="F20" s="189"/>
      <c r="G20" s="189"/>
      <c r="H20" s="189"/>
      <c r="I20" s="189"/>
      <c r="J20" s="189">
        <v>1000</v>
      </c>
      <c r="K20" s="189"/>
    </row>
    <row r="21" spans="1:11">
      <c r="A21" s="91"/>
      <c r="B21" s="18" t="s">
        <v>486</v>
      </c>
      <c r="C21" s="17"/>
      <c r="D21" s="163"/>
      <c r="E21" s="17"/>
      <c r="F21" s="189"/>
      <c r="G21" s="189"/>
      <c r="H21" s="189"/>
      <c r="I21" s="189"/>
      <c r="J21" s="189">
        <v>500</v>
      </c>
      <c r="K21" s="189"/>
    </row>
    <row r="22" spans="1:11">
      <c r="A22" s="91"/>
      <c r="B22" s="18" t="s">
        <v>487</v>
      </c>
      <c r="C22" s="17"/>
      <c r="D22" s="163"/>
      <c r="E22" s="17"/>
      <c r="F22" s="189"/>
      <c r="G22" s="189"/>
      <c r="H22" s="189"/>
      <c r="I22" s="189"/>
      <c r="J22" s="189">
        <v>500</v>
      </c>
      <c r="K22" s="189"/>
    </row>
    <row r="23" spans="1:11">
      <c r="A23" s="91"/>
      <c r="B23" s="316" t="s">
        <v>488</v>
      </c>
      <c r="C23" s="317"/>
      <c r="D23" s="318"/>
      <c r="E23" s="317"/>
      <c r="F23" s="319"/>
      <c r="G23" s="319"/>
      <c r="H23" s="224"/>
      <c r="I23" s="224"/>
      <c r="J23" s="224">
        <v>400</v>
      </c>
      <c r="K23" s="224"/>
    </row>
    <row r="24" spans="1:11">
      <c r="B24" s="18" t="s">
        <v>489</v>
      </c>
      <c r="C24" s="17"/>
      <c r="D24" s="163"/>
      <c r="E24" s="17"/>
      <c r="F24" s="189"/>
      <c r="G24" s="189"/>
      <c r="H24" s="189"/>
      <c r="I24" s="189"/>
      <c r="J24" s="189">
        <v>500</v>
      </c>
      <c r="K24" s="189"/>
    </row>
    <row r="25" spans="1:11">
      <c r="A25" s="216" t="s">
        <v>484</v>
      </c>
      <c r="B25" s="18" t="s">
        <v>490</v>
      </c>
      <c r="C25" s="17">
        <v>0</v>
      </c>
      <c r="D25" s="163">
        <v>0</v>
      </c>
      <c r="E25" s="17">
        <v>0</v>
      </c>
      <c r="F25" s="189"/>
      <c r="G25" s="189"/>
      <c r="H25" s="189">
        <v>305.17</v>
      </c>
      <c r="I25" s="189"/>
      <c r="J25" s="189"/>
      <c r="K25" s="189"/>
    </row>
    <row r="26" spans="1:11">
      <c r="B26" s="316" t="s">
        <v>491</v>
      </c>
      <c r="C26" s="317"/>
      <c r="D26" s="318"/>
      <c r="E26" s="317"/>
      <c r="F26" s="319"/>
      <c r="G26" s="319"/>
      <c r="H26" s="224"/>
      <c r="I26" s="224"/>
      <c r="J26" s="320">
        <v>1850</v>
      </c>
      <c r="K26" s="224"/>
    </row>
    <row r="27" spans="1:11">
      <c r="A27" s="216" t="s">
        <v>492</v>
      </c>
      <c r="B27" s="18" t="s">
        <v>190</v>
      </c>
      <c r="C27" s="17"/>
      <c r="D27" s="163"/>
      <c r="E27" s="17"/>
      <c r="F27" s="189"/>
      <c r="G27" s="189"/>
      <c r="H27" s="189">
        <v>277.8</v>
      </c>
      <c r="I27" s="189"/>
      <c r="J27" s="480"/>
      <c r="K27" s="189"/>
    </row>
    <row r="28" spans="1:11" s="8" customFormat="1">
      <c r="B28" s="8" t="s">
        <v>13</v>
      </c>
      <c r="C28" s="16">
        <f>SUBTOTAL(109,BikeCentreExpenses[Budget 15/16])</f>
        <v>3295</v>
      </c>
      <c r="D28" s="140">
        <f>SUBTOTAL(109,BikeCentreExpenses[Actual 15/16])</f>
        <v>453.02</v>
      </c>
      <c r="E28" s="16">
        <f>SUBTOTAL(109,BikeCentreExpenses[Budget 16/17])</f>
        <v>4655</v>
      </c>
      <c r="F28" s="16">
        <f>SUBTOTAL(109,BikeCentreExpenses[Actual 16/17])</f>
        <v>4651.88</v>
      </c>
      <c r="G28" s="16">
        <f>SUBTOTAL(109,BikeCentreExpenses[Budget 17/18])</f>
        <v>2605</v>
      </c>
      <c r="H28" s="1">
        <f>SUBTOTAL(109,BikeCentreExpenses[Actual 17/18])</f>
        <v>8619.57</v>
      </c>
      <c r="I28" s="1">
        <f>SUM(BikeCentreExpenses[Budget 18/19])</f>
        <v>8200</v>
      </c>
      <c r="J28" s="1">
        <f>SUM(BikeCentreExpenses[Budget 19/20])</f>
        <v>11670</v>
      </c>
      <c r="K28" s="1"/>
    </row>
    <row r="29" spans="1:11" ht="13.5" thickBot="1">
      <c r="A29" s="8"/>
      <c r="B29" s="8"/>
      <c r="C29" s="8"/>
      <c r="D29" s="138"/>
      <c r="E29" s="8"/>
    </row>
    <row r="30" spans="1:11" ht="19.5" thickBot="1">
      <c r="A30" s="8"/>
      <c r="B30" s="452" t="s">
        <v>102</v>
      </c>
      <c r="C30" s="27">
        <f>BikeCentreRevenues[[#Totals],[Budget 15/16]]-BikeCentreExpenses[[#Totals],[Budget 15/16]]</f>
        <v>-3295</v>
      </c>
      <c r="D30" s="27">
        <f>BikeCentreRevenues[[#Totals],[Actual 15/16]]-BikeCentreExpenses[[#Totals],[Actual 15/16]]</f>
        <v>12.980000000000018</v>
      </c>
      <c r="E30" s="81">
        <f>BikeCentreRevenues[[#Totals],[Budget 16/17]]-BikeCentreExpenses[[#Totals],[Budget 16/17]]</f>
        <v>-4655</v>
      </c>
      <c r="F30" s="81">
        <f>BikeCentreRevenues[[#Totals],[Actual 16/17]]-BikeCentreExpenses[[#Totals],[Actual 16/17]]</f>
        <v>3662.7300000000005</v>
      </c>
      <c r="G30" s="81">
        <f>BikeCentreRevenues[[#Totals],[Budget 17/18]]-BikeCentreExpenses[[#Totals],[Budget 17/18]]</f>
        <v>-605</v>
      </c>
      <c r="H30" s="81">
        <f>BikeCentreRevenues[[#Totals],[Actual 17/18]]-BikeCentreExpenses[[#Totals],[Actual 17/18]]</f>
        <v>4338.7000000000007</v>
      </c>
      <c r="I30" s="81">
        <f>BikeCentreRevenues[[#Totals],[Budget 18/19]]-BikeCentreExpenses[[#Totals],[Budget 18/19]]</f>
        <v>2800</v>
      </c>
      <c r="J30" s="81">
        <f>BikeCentreRevenues[[#Totals],[Budget 19/20]]-BikeCentreExpenses[[#Totals],[Budget 19/20]]</f>
        <v>830</v>
      </c>
      <c r="K30" s="81"/>
    </row>
    <row r="31" spans="1:11">
      <c r="A31" s="8"/>
      <c r="B31" s="8"/>
      <c r="C31" s="8"/>
      <c r="D31" s="138"/>
      <c r="E31" s="8"/>
    </row>
    <row r="32" spans="1:11">
      <c r="A32" s="8"/>
      <c r="B32" s="8"/>
      <c r="C32" s="8"/>
      <c r="D32" s="138"/>
      <c r="E32" s="8"/>
    </row>
    <row r="33" spans="1:9">
      <c r="A33" s="8"/>
      <c r="B33" s="8"/>
      <c r="C33" s="8"/>
      <c r="D33" s="164"/>
      <c r="E33" s="104"/>
      <c r="F33" s="104"/>
      <c r="G33" s="104"/>
      <c r="H33" s="104"/>
      <c r="I33" s="104"/>
    </row>
    <row r="34" spans="1:9">
      <c r="A34" s="8"/>
      <c r="B34" s="8"/>
      <c r="C34" s="8"/>
      <c r="D34" s="164"/>
      <c r="E34" s="104"/>
      <c r="F34" s="104"/>
      <c r="G34" s="104"/>
      <c r="H34" s="104"/>
      <c r="I34" s="104"/>
    </row>
    <row r="35" spans="1:9">
      <c r="B35" s="8"/>
      <c r="C35" s="8"/>
      <c r="D35" s="164"/>
      <c r="E35" s="104"/>
      <c r="F35" s="104"/>
      <c r="G35" s="104"/>
      <c r="H35" s="104"/>
      <c r="I35" s="104"/>
    </row>
    <row r="36" spans="1:9">
      <c r="B36" s="8"/>
      <c r="C36" s="8"/>
      <c r="D36" s="164"/>
      <c r="E36" s="104"/>
      <c r="F36" s="104"/>
      <c r="G36" s="104"/>
      <c r="H36" s="104"/>
      <c r="I36" s="104"/>
    </row>
    <row r="37" spans="1:9">
      <c r="B37" s="8"/>
      <c r="C37" s="8"/>
      <c r="D37" s="164"/>
      <c r="E37" s="104"/>
      <c r="F37" s="104"/>
      <c r="G37" s="104"/>
      <c r="H37" s="104"/>
      <c r="I37" s="104"/>
    </row>
    <row r="38" spans="1:9">
      <c r="B38" s="8"/>
      <c r="C38" s="8"/>
      <c r="D38" s="164"/>
      <c r="E38" s="104"/>
      <c r="F38" s="104"/>
      <c r="G38" s="104"/>
      <c r="H38" s="104"/>
      <c r="I38" s="104"/>
    </row>
    <row r="39" spans="1:9">
      <c r="D39" s="164"/>
      <c r="E39" s="104"/>
      <c r="F39" s="104"/>
      <c r="G39" s="104"/>
      <c r="H39" s="104"/>
      <c r="I39" s="104"/>
    </row>
    <row r="40" spans="1:9">
      <c r="D40" s="164"/>
      <c r="E40" s="104"/>
      <c r="F40" s="104"/>
      <c r="G40" s="104"/>
      <c r="H40" s="104"/>
      <c r="I40" s="104"/>
    </row>
  </sheetData>
  <mergeCells count="1">
    <mergeCell ref="A1:B1"/>
  </mergeCells>
  <pageMargins left="0.70866141732283472" right="0.70866141732283472" top="0.74803149606299213" bottom="0.74803149606299213" header="0.31496062992125984" footer="0.31496062992125984"/>
  <pageSetup orientation="portrait" blackAndWhite="1" r:id="rId1"/>
  <legacyDrawing r:id="rId2"/>
  <tableParts count="2">
    <tablePart r:id="rId3"/>
    <tablePart r:id="rId4"/>
  </tablePar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tabColor theme="1"/>
  </sheetPr>
  <dimension ref="A1:P36"/>
  <sheetViews>
    <sheetView zoomScale="115" zoomScaleNormal="115" workbookViewId="0">
      <selection activeCell="L38" sqref="L38"/>
    </sheetView>
  </sheetViews>
  <sheetFormatPr defaultRowHeight="12.75"/>
  <cols>
    <col min="1" max="1" width="15.28515625" style="8" bestFit="1" customWidth="1"/>
    <col min="2" max="2" width="25" style="8" customWidth="1"/>
    <col min="3" max="5" width="12" style="8" hidden="1" customWidth="1"/>
    <col min="6" max="6" width="12" style="138" hidden="1" customWidth="1"/>
    <col min="7" max="7" width="14.140625" style="8" hidden="1" customWidth="1"/>
    <col min="8" max="8" width="15" style="8" hidden="1" customWidth="1"/>
    <col min="9" max="9" width="13.7109375" style="8" customWidth="1"/>
    <col min="10" max="10" width="12" style="8" customWidth="1"/>
    <col min="11" max="11" width="14.28515625" style="8" customWidth="1"/>
    <col min="12" max="12" width="12.140625" style="8" customWidth="1"/>
    <col min="13" max="13" width="12.85546875" style="8" customWidth="1"/>
    <col min="14" max="14" width="9.140625" style="8"/>
    <col min="15" max="15" width="14.28515625" style="8" customWidth="1"/>
    <col min="16" max="16384" width="9.140625" style="8"/>
  </cols>
  <sheetData>
    <row r="1" spans="1:16" ht="18">
      <c r="A1" s="534" t="s">
        <v>493</v>
      </c>
      <c r="B1" s="534"/>
      <c r="C1" s="534"/>
      <c r="D1" s="534"/>
    </row>
    <row r="2" spans="1:16">
      <c r="A2" s="28" t="s">
        <v>186</v>
      </c>
    </row>
    <row r="4" spans="1:16">
      <c r="A4" s="48" t="s">
        <v>107</v>
      </c>
      <c r="B4" s="8" t="s">
        <v>47</v>
      </c>
      <c r="C4" s="8" t="s">
        <v>56</v>
      </c>
      <c r="D4" s="8" t="s">
        <v>104</v>
      </c>
      <c r="E4" s="8" t="s">
        <v>29</v>
      </c>
      <c r="F4" s="124" t="s">
        <v>30</v>
      </c>
      <c r="G4" s="8" t="s">
        <v>31</v>
      </c>
      <c r="H4" s="8" t="s">
        <v>494</v>
      </c>
      <c r="I4" s="8" t="s">
        <v>33</v>
      </c>
      <c r="J4" s="8" t="s">
        <v>34</v>
      </c>
      <c r="K4" s="8" t="s">
        <v>6</v>
      </c>
      <c r="L4" s="8" t="s">
        <v>8</v>
      </c>
      <c r="M4" s="8" t="s">
        <v>35</v>
      </c>
    </row>
    <row r="5" spans="1:16">
      <c r="A5" s="48"/>
      <c r="B5" s="8" t="s">
        <v>495</v>
      </c>
      <c r="C5" s="16">
        <v>1750</v>
      </c>
      <c r="D5" s="16">
        <v>0</v>
      </c>
      <c r="E5" s="76">
        <v>1750</v>
      </c>
      <c r="F5" s="157">
        <v>0</v>
      </c>
      <c r="G5" s="44">
        <v>0</v>
      </c>
      <c r="H5" s="44"/>
      <c r="I5" s="44"/>
      <c r="J5" s="44"/>
      <c r="K5" s="44">
        <v>2000</v>
      </c>
      <c r="L5" s="44">
        <v>2000</v>
      </c>
      <c r="M5" s="44"/>
    </row>
    <row r="6" spans="1:16">
      <c r="A6" s="48"/>
      <c r="B6" s="8" t="s">
        <v>496</v>
      </c>
      <c r="C6" s="16">
        <v>1750</v>
      </c>
      <c r="D6" s="16">
        <v>0</v>
      </c>
      <c r="E6" s="76">
        <v>1750</v>
      </c>
      <c r="F6" s="157">
        <v>0</v>
      </c>
      <c r="G6" s="44">
        <v>0</v>
      </c>
      <c r="H6" s="44"/>
      <c r="I6" s="44"/>
      <c r="J6" s="44"/>
      <c r="K6" s="44"/>
      <c r="L6" s="44"/>
      <c r="M6" s="44"/>
    </row>
    <row r="7" spans="1:16">
      <c r="A7" s="48" t="s">
        <v>497</v>
      </c>
      <c r="B7" s="8" t="s">
        <v>295</v>
      </c>
      <c r="C7" s="16">
        <v>0</v>
      </c>
      <c r="D7" s="16">
        <v>2358.1999999999998</v>
      </c>
      <c r="E7" s="16">
        <v>0</v>
      </c>
      <c r="F7" s="157">
        <v>33.5</v>
      </c>
      <c r="G7" s="44">
        <v>0</v>
      </c>
      <c r="H7" s="44">
        <v>19870</v>
      </c>
      <c r="I7" s="44">
        <v>10000</v>
      </c>
      <c r="J7" s="44">
        <v>6135.54</v>
      </c>
      <c r="K7" s="44"/>
      <c r="L7" s="44"/>
      <c r="M7" s="44"/>
    </row>
    <row r="8" spans="1:16">
      <c r="A8" s="48" t="s">
        <v>498</v>
      </c>
      <c r="B8" s="8" t="s">
        <v>297</v>
      </c>
      <c r="C8" s="44">
        <v>0</v>
      </c>
      <c r="D8" s="44">
        <v>2400</v>
      </c>
      <c r="E8" s="44">
        <v>0</v>
      </c>
      <c r="F8" s="157">
        <v>3500</v>
      </c>
      <c r="G8" s="44">
        <v>4000</v>
      </c>
      <c r="H8" s="44"/>
      <c r="I8" s="122"/>
      <c r="J8" s="122">
        <v>4000</v>
      </c>
      <c r="K8" s="122"/>
      <c r="L8" s="122"/>
      <c r="M8" s="122"/>
      <c r="N8"/>
      <c r="O8"/>
    </row>
    <row r="9" spans="1:16">
      <c r="A9" s="48"/>
      <c r="B9" s="8" t="s">
        <v>499</v>
      </c>
      <c r="C9" s="44">
        <v>0</v>
      </c>
      <c r="D9" s="44">
        <v>2914</v>
      </c>
      <c r="E9" s="44">
        <v>0</v>
      </c>
      <c r="F9" s="157">
        <v>5867.5</v>
      </c>
      <c r="G9" s="44">
        <v>0</v>
      </c>
      <c r="H9" s="44">
        <v>3833.5</v>
      </c>
      <c r="I9" s="122">
        <v>2500</v>
      </c>
      <c r="J9" s="122">
        <v>5136.5</v>
      </c>
      <c r="K9" s="122">
        <v>8000</v>
      </c>
      <c r="L9" s="481">
        <v>8000</v>
      </c>
      <c r="M9" s="122"/>
      <c r="N9"/>
      <c r="O9"/>
    </row>
    <row r="10" spans="1:16">
      <c r="A10" s="48"/>
      <c r="B10" s="8" t="s">
        <v>500</v>
      </c>
      <c r="C10" s="44">
        <v>0</v>
      </c>
      <c r="D10" s="44">
        <v>9879.5</v>
      </c>
      <c r="E10" s="44">
        <v>0</v>
      </c>
      <c r="F10" s="157">
        <v>15458</v>
      </c>
      <c r="G10" s="44">
        <v>0</v>
      </c>
      <c r="H10" s="44">
        <v>12000</v>
      </c>
      <c r="I10" s="122">
        <v>10000</v>
      </c>
      <c r="J10" s="122">
        <v>17092</v>
      </c>
      <c r="K10" s="122">
        <v>13000</v>
      </c>
      <c r="L10" s="481">
        <v>13000</v>
      </c>
      <c r="M10" s="122"/>
      <c r="N10"/>
      <c r="O10"/>
    </row>
    <row r="11" spans="1:16">
      <c r="A11" s="48"/>
      <c r="B11" s="8" t="s">
        <v>501</v>
      </c>
      <c r="C11" s="44">
        <v>0</v>
      </c>
      <c r="D11" s="44">
        <v>797</v>
      </c>
      <c r="E11" s="44">
        <v>0</v>
      </c>
      <c r="F11" s="157">
        <v>3718</v>
      </c>
      <c r="G11" s="44">
        <v>0</v>
      </c>
      <c r="H11" s="44">
        <v>10000</v>
      </c>
      <c r="I11" s="122">
        <v>9000</v>
      </c>
      <c r="J11" s="122">
        <v>2098</v>
      </c>
      <c r="K11" s="122">
        <v>11000</v>
      </c>
      <c r="L11" s="481">
        <v>11000</v>
      </c>
      <c r="M11" s="122"/>
      <c r="N11"/>
      <c r="O11"/>
      <c r="P11"/>
    </row>
    <row r="12" spans="1:16">
      <c r="A12" s="48"/>
      <c r="B12" s="8" t="s">
        <v>13</v>
      </c>
      <c r="C12" s="16">
        <f>SUBTOTAL(109,ICSNRevenues[Budget 14/15])</f>
        <v>3500</v>
      </c>
      <c r="D12" s="16">
        <f>SUBTOTAL(109,ICSNRevenues[Actual 14/15])</f>
        <v>18348.7</v>
      </c>
      <c r="E12" s="16">
        <f>SUBTOTAL(109,ICSNRevenues[Budget 15/16])</f>
        <v>3500</v>
      </c>
      <c r="F12" s="140">
        <f>SUBTOTAL(109,ICSNRevenues[Actual 15/16])</f>
        <v>28577</v>
      </c>
      <c r="G12" s="16">
        <f>SUBTOTAL(109,ICSNRevenues[Budget 16/17])</f>
        <v>4000</v>
      </c>
      <c r="H12" s="16">
        <f>SUBTOTAL(109,ICSNRevenues[Actuan 16/17])</f>
        <v>45703.5</v>
      </c>
      <c r="I12" s="16">
        <f>SUBTOTAL(109,ICSNRevenues[Budget 17/18])</f>
        <v>31500</v>
      </c>
      <c r="J12" s="1">
        <f>SUBTOTAL(109,ICSNRevenues[Actual 17/18])</f>
        <v>34462.04</v>
      </c>
      <c r="K12" s="1">
        <f>SUBTOTAL(109,ICSNRevenues[Budget 18/19])</f>
        <v>34000</v>
      </c>
      <c r="L12" s="1">
        <f>SUBTOTAL(109,ICSNRevenues[Budget 19/20])</f>
        <v>34000</v>
      </c>
      <c r="M12" s="1"/>
      <c r="N12"/>
      <c r="O12"/>
      <c r="P12"/>
    </row>
    <row r="13" spans="1:16">
      <c r="A13" s="48"/>
      <c r="C13" s="15"/>
      <c r="D13" s="77"/>
      <c r="I13"/>
      <c r="J13"/>
      <c r="K13"/>
      <c r="L13"/>
      <c r="M13"/>
      <c r="N13"/>
      <c r="O13" s="5"/>
      <c r="P13" s="5"/>
    </row>
    <row r="14" spans="1:16">
      <c r="A14" s="48"/>
      <c r="B14" s="8" t="s">
        <v>502</v>
      </c>
      <c r="C14" s="8" t="s">
        <v>56</v>
      </c>
      <c r="D14" s="8" t="s">
        <v>104</v>
      </c>
      <c r="E14" s="8" t="s">
        <v>29</v>
      </c>
      <c r="F14" s="124" t="s">
        <v>30</v>
      </c>
      <c r="G14" s="8" t="s">
        <v>31</v>
      </c>
      <c r="H14" s="8" t="s">
        <v>32</v>
      </c>
      <c r="I14" s="8" t="s">
        <v>33</v>
      </c>
      <c r="J14" s="8" t="s">
        <v>34</v>
      </c>
      <c r="K14" s="8" t="s">
        <v>6</v>
      </c>
      <c r="L14" s="8" t="s">
        <v>8</v>
      </c>
      <c r="M14" s="8" t="s">
        <v>35</v>
      </c>
      <c r="N14"/>
      <c r="O14"/>
      <c r="P14"/>
    </row>
    <row r="15" spans="1:16">
      <c r="A15" s="48"/>
      <c r="B15" s="8" t="s">
        <v>503</v>
      </c>
      <c r="C15" s="16">
        <v>0</v>
      </c>
      <c r="D15" s="16">
        <v>3795.14</v>
      </c>
      <c r="E15" s="16">
        <v>0</v>
      </c>
      <c r="F15" s="157">
        <v>7683.63</v>
      </c>
      <c r="G15" s="44">
        <v>0</v>
      </c>
      <c r="H15" s="16">
        <v>8492</v>
      </c>
      <c r="I15" s="16">
        <v>4000</v>
      </c>
      <c r="J15" s="16">
        <v>16512.099999999999</v>
      </c>
      <c r="K15" s="16">
        <v>8000</v>
      </c>
      <c r="L15" s="16">
        <v>8000</v>
      </c>
      <c r="M15" s="16"/>
      <c r="N15"/>
      <c r="O15" s="5"/>
      <c r="P15"/>
    </row>
    <row r="16" spans="1:16">
      <c r="A16" s="48"/>
      <c r="B16" s="8" t="s">
        <v>500</v>
      </c>
      <c r="C16" s="16">
        <v>0</v>
      </c>
      <c r="D16" s="16">
        <v>11124.68</v>
      </c>
      <c r="E16" s="16">
        <v>0</v>
      </c>
      <c r="F16" s="157">
        <v>16037.59</v>
      </c>
      <c r="G16" s="44">
        <v>0</v>
      </c>
      <c r="H16" s="16">
        <v>20000</v>
      </c>
      <c r="I16" s="16">
        <v>14000</v>
      </c>
      <c r="J16" s="16">
        <v>15877.31</v>
      </c>
      <c r="K16" s="16">
        <v>13000</v>
      </c>
      <c r="L16" s="16">
        <v>13000</v>
      </c>
      <c r="M16" s="16"/>
      <c r="N16"/>
      <c r="O16"/>
      <c r="P16"/>
    </row>
    <row r="17" spans="1:16">
      <c r="A17" s="48"/>
      <c r="B17" s="8" t="s">
        <v>501</v>
      </c>
      <c r="C17" s="16"/>
      <c r="D17" s="16"/>
      <c r="E17" s="16"/>
      <c r="F17" s="157">
        <v>776</v>
      </c>
      <c r="G17" s="44"/>
      <c r="H17" s="16">
        <v>15000</v>
      </c>
      <c r="I17" s="16">
        <v>10000</v>
      </c>
      <c r="J17" s="16">
        <v>1875.99</v>
      </c>
      <c r="K17" s="16">
        <v>11000</v>
      </c>
      <c r="L17" s="16">
        <v>11000</v>
      </c>
      <c r="M17" s="16"/>
      <c r="N17"/>
      <c r="O17"/>
      <c r="P17"/>
    </row>
    <row r="18" spans="1:16">
      <c r="A18" s="48"/>
      <c r="B18" s="8" t="s">
        <v>13</v>
      </c>
      <c r="C18" s="16">
        <f>SUBTOTAL(109,ICSNCostofSales[Budget 14/15])</f>
        <v>0</v>
      </c>
      <c r="D18" s="16">
        <f>SUBTOTAL(109,ICSNCostofSales[Actual 14/15])</f>
        <v>14919.82</v>
      </c>
      <c r="E18" s="16">
        <f>SUBTOTAL(109,ICSNCostofSales[Budget 15/16])</f>
        <v>0</v>
      </c>
      <c r="F18" s="140">
        <f>SUBTOTAL(109,ICSNCostofSales[Actual 15/16])</f>
        <v>24497.22</v>
      </c>
      <c r="G18" s="16">
        <f>SUBTOTAL(109,ICSNCostofSales[Budget 16/17])</f>
        <v>0</v>
      </c>
      <c r="H18" s="16">
        <f>SUBTOTAL(109,ICSNCostofSales[Actual 16/17])</f>
        <v>43492</v>
      </c>
      <c r="I18" s="16">
        <f>SUBTOTAL(109,ICSNCostofSales[Budget 17/18])</f>
        <v>28000</v>
      </c>
      <c r="J18" s="15">
        <f>SUBTOTAL(109,ICSNCostofSales[Actual 17/18])</f>
        <v>34265.399999999994</v>
      </c>
      <c r="K18" s="15">
        <f>SUBTOTAL(109,ICSNCostofSales[Budget 18/19])</f>
        <v>32000</v>
      </c>
      <c r="L18" s="15">
        <f>SUBTOTAL(109,ICSNCostofSales[Budget 19/20])</f>
        <v>32000</v>
      </c>
      <c r="M18" s="15"/>
      <c r="N18"/>
      <c r="O18"/>
      <c r="P18"/>
    </row>
    <row r="19" spans="1:16" ht="13.5" thickBot="1">
      <c r="C19" s="16"/>
      <c r="D19" s="16"/>
      <c r="E19" s="76"/>
      <c r="I19"/>
      <c r="J19"/>
      <c r="K19"/>
      <c r="L19"/>
      <c r="M19"/>
      <c r="N19"/>
      <c r="O19"/>
      <c r="P19"/>
    </row>
    <row r="20" spans="1:16" ht="15.75" thickBot="1">
      <c r="B20" s="482" t="s">
        <v>504</v>
      </c>
      <c r="C20" s="82">
        <f>(ICSNRevenues[[#Totals],[Budget 14/15]]- ICSNCostofSales[[#Totals],[Budget 14/15]])</f>
        <v>3500</v>
      </c>
      <c r="D20" s="82">
        <f>(ICSNRevenues[[#Totals],[Actual 14/15]]- ICSNCostofSales[[#Totals],[Actual 14/15]])</f>
        <v>3428.880000000001</v>
      </c>
      <c r="E20" s="82">
        <f>(ICSNRevenues[[#Totals],[Budget 15/16]]- ICSNCostofSales[[#Totals],[Budget 15/16]])</f>
        <v>3500</v>
      </c>
      <c r="F20" s="82">
        <f>(ICSNRevenues[[#Totals],[Actual 15/16]]- ICSNCostofSales[[#Totals],[Actual 15/16]])</f>
        <v>4079.7799999999988</v>
      </c>
      <c r="G20" s="90">
        <f>(ICSNRevenues[[#Totals],[Budget 16/17]]- ICSNCostofSales[[#Totals],[Budget 16/17]])</f>
        <v>4000</v>
      </c>
      <c r="H20" s="90">
        <f>(ICSNRevenues[[#Totals],[Actuan 16/17]]- ICSNCostofSales[[#Totals],[Actual 16/17]])</f>
        <v>2211.5</v>
      </c>
      <c r="I20" s="90">
        <f>(ICSNRevenues[[#Totals],[Budget 17/18]]- ICSNCostofSales[[#Totals],[Budget 17/18]])</f>
        <v>3500</v>
      </c>
      <c r="J20" s="90">
        <f>(ICSNRevenues[[#Totals],[Actual 17/18]]- ICSNCostofSales[[#Totals],[Actual 17/18]])</f>
        <v>196.64000000000669</v>
      </c>
      <c r="K20" s="90">
        <f>(ICSNRevenues[[#Totals],[Budget 18/19]]- ICSNCostofSales[[#Totals],[Budget 18/19]])</f>
        <v>2000</v>
      </c>
      <c r="L20" s="90">
        <f>(ICSNRevenues[[#Totals],[Budget 19/20]]- ICSNCostofSales[[#Totals],[Budget 19/20]])</f>
        <v>2000</v>
      </c>
      <c r="M20" s="90"/>
      <c r="N20"/>
      <c r="O20"/>
      <c r="P20"/>
    </row>
    <row r="21" spans="1:16" ht="15">
      <c r="A21" s="48"/>
      <c r="B21" s="85"/>
      <c r="C21" s="84"/>
      <c r="D21" s="84"/>
      <c r="E21" s="84"/>
      <c r="F21" s="165"/>
      <c r="G21" s="83"/>
      <c r="I21"/>
      <c r="J21"/>
      <c r="K21"/>
      <c r="L21"/>
      <c r="M21"/>
      <c r="N21"/>
      <c r="O21"/>
      <c r="P21"/>
    </row>
    <row r="22" spans="1:16">
      <c r="A22" s="48"/>
      <c r="C22" s="15"/>
      <c r="D22" s="77"/>
      <c r="F22" s="166"/>
      <c r="H22" s="60"/>
      <c r="I22"/>
      <c r="J22"/>
      <c r="K22"/>
      <c r="L22"/>
      <c r="M22"/>
      <c r="N22"/>
      <c r="O22"/>
      <c r="P22"/>
    </row>
    <row r="23" spans="1:16">
      <c r="A23" s="48"/>
      <c r="B23" s="8" t="s">
        <v>61</v>
      </c>
      <c r="C23" s="8" t="s">
        <v>56</v>
      </c>
      <c r="D23" s="8" t="s">
        <v>104</v>
      </c>
      <c r="E23" s="8" t="s">
        <v>29</v>
      </c>
      <c r="F23" s="124" t="s">
        <v>30</v>
      </c>
      <c r="G23" s="8" t="s">
        <v>31</v>
      </c>
      <c r="H23" s="8" t="s">
        <v>32</v>
      </c>
      <c r="I23" s="8" t="s">
        <v>33</v>
      </c>
      <c r="J23" s="8" t="s">
        <v>34</v>
      </c>
      <c r="K23" s="8" t="s">
        <v>6</v>
      </c>
      <c r="L23" s="8" t="s">
        <v>8</v>
      </c>
      <c r="M23" s="8" t="s">
        <v>35</v>
      </c>
      <c r="N23"/>
      <c r="O23"/>
      <c r="P23"/>
    </row>
    <row r="24" spans="1:16">
      <c r="A24" s="48" t="s">
        <v>505</v>
      </c>
      <c r="B24" s="8" t="s">
        <v>116</v>
      </c>
      <c r="C24" s="44">
        <v>960</v>
      </c>
      <c r="D24" s="44">
        <v>419.06</v>
      </c>
      <c r="E24" s="78">
        <v>960</v>
      </c>
      <c r="F24" s="157">
        <v>601.85</v>
      </c>
      <c r="G24" s="44">
        <v>980</v>
      </c>
      <c r="H24" s="44">
        <v>802.32</v>
      </c>
      <c r="I24" s="122">
        <v>1140</v>
      </c>
      <c r="J24" s="122">
        <v>571.29</v>
      </c>
      <c r="K24" s="122">
        <v>990</v>
      </c>
      <c r="L24" s="122">
        <v>720</v>
      </c>
      <c r="M24" s="122"/>
      <c r="N24"/>
      <c r="O24"/>
      <c r="P24"/>
    </row>
    <row r="25" spans="1:16">
      <c r="A25" s="48" t="s">
        <v>506</v>
      </c>
      <c r="B25" s="8" t="s">
        <v>70</v>
      </c>
      <c r="C25" s="44">
        <v>125</v>
      </c>
      <c r="D25" s="44">
        <v>327.74</v>
      </c>
      <c r="E25" s="78">
        <v>227.4</v>
      </c>
      <c r="F25" s="157">
        <v>208.45</v>
      </c>
      <c r="G25" s="44">
        <v>250</v>
      </c>
      <c r="H25" s="44">
        <v>208.45</v>
      </c>
      <c r="I25" s="122">
        <v>138</v>
      </c>
      <c r="J25" s="122">
        <v>208.45</v>
      </c>
      <c r="K25" s="122">
        <v>138</v>
      </c>
      <c r="L25" s="122">
        <v>138</v>
      </c>
      <c r="M25" s="122"/>
      <c r="N25"/>
      <c r="O25"/>
      <c r="P25"/>
    </row>
    <row r="26" spans="1:16">
      <c r="A26" s="48" t="s">
        <v>507</v>
      </c>
      <c r="B26" s="8" t="s">
        <v>77</v>
      </c>
      <c r="C26" s="44">
        <v>25</v>
      </c>
      <c r="D26" s="44">
        <v>3.32</v>
      </c>
      <c r="E26" s="79">
        <v>10</v>
      </c>
      <c r="F26" s="157">
        <v>8.49</v>
      </c>
      <c r="G26" s="44">
        <v>30</v>
      </c>
      <c r="H26" s="44"/>
      <c r="I26" s="122">
        <v>30</v>
      </c>
      <c r="J26" s="122">
        <v>25.02</v>
      </c>
      <c r="K26" s="122">
        <v>30</v>
      </c>
      <c r="L26" s="122">
        <v>30</v>
      </c>
      <c r="M26" s="122"/>
      <c r="N26"/>
      <c r="O26"/>
      <c r="P26"/>
    </row>
    <row r="27" spans="1:16">
      <c r="A27" s="48" t="s">
        <v>508</v>
      </c>
      <c r="B27" s="8" t="s">
        <v>226</v>
      </c>
      <c r="C27" s="44">
        <v>65</v>
      </c>
      <c r="D27" s="44">
        <v>218.39</v>
      </c>
      <c r="E27" s="78">
        <v>100</v>
      </c>
      <c r="F27" s="157">
        <v>195.91</v>
      </c>
      <c r="G27" s="44">
        <v>70</v>
      </c>
      <c r="H27" s="44">
        <v>9.0399999999999991</v>
      </c>
      <c r="I27" s="122">
        <v>60</v>
      </c>
      <c r="J27" s="122"/>
      <c r="K27" s="122"/>
      <c r="L27" s="122"/>
      <c r="M27" s="122"/>
      <c r="N27"/>
      <c r="O27"/>
      <c r="P27"/>
    </row>
    <row r="28" spans="1:16">
      <c r="A28" s="48" t="s">
        <v>509</v>
      </c>
      <c r="B28" s="8" t="s">
        <v>81</v>
      </c>
      <c r="C28" s="44">
        <v>300</v>
      </c>
      <c r="D28" s="44">
        <v>10.84</v>
      </c>
      <c r="E28" s="78">
        <v>300</v>
      </c>
      <c r="F28" s="157">
        <v>63.24</v>
      </c>
      <c r="G28" s="44">
        <v>300</v>
      </c>
      <c r="H28" s="44">
        <v>1055.3399999999999</v>
      </c>
      <c r="I28" s="122">
        <v>450</v>
      </c>
      <c r="J28" s="122">
        <v>510.15</v>
      </c>
      <c r="K28" s="122">
        <v>500</v>
      </c>
      <c r="L28" s="122">
        <v>110</v>
      </c>
      <c r="M28" s="122"/>
      <c r="N28"/>
      <c r="O28"/>
      <c r="P28"/>
    </row>
    <row r="29" spans="1:16" hidden="1">
      <c r="B29" s="8" t="s">
        <v>289</v>
      </c>
      <c r="C29" s="44">
        <v>0</v>
      </c>
      <c r="D29" s="44">
        <v>0</v>
      </c>
      <c r="E29" s="78">
        <v>0</v>
      </c>
      <c r="F29" s="157">
        <v>0</v>
      </c>
      <c r="G29" s="44">
        <v>0</v>
      </c>
      <c r="H29" s="44"/>
      <c r="I29" s="122"/>
      <c r="J29" s="122"/>
      <c r="K29" s="122"/>
      <c r="L29" s="122"/>
      <c r="M29" s="122"/>
      <c r="N29"/>
      <c r="O29"/>
      <c r="P29"/>
    </row>
    <row r="30" spans="1:16">
      <c r="A30" s="49" t="s">
        <v>510</v>
      </c>
      <c r="B30" s="8" t="s">
        <v>357</v>
      </c>
      <c r="C30" s="44">
        <v>0</v>
      </c>
      <c r="D30" s="44">
        <v>6737.64</v>
      </c>
      <c r="E30" s="78">
        <v>0</v>
      </c>
      <c r="F30" s="157">
        <v>5318.18</v>
      </c>
      <c r="G30" s="44">
        <v>7700</v>
      </c>
      <c r="H30" s="44">
        <v>9337.9</v>
      </c>
      <c r="I30" s="122">
        <v>7700</v>
      </c>
      <c r="J30" s="122">
        <v>4194.7700000000004</v>
      </c>
      <c r="K30" s="122">
        <v>4000</v>
      </c>
      <c r="L30" s="122">
        <v>3156</v>
      </c>
      <c r="M30" s="122"/>
      <c r="N30"/>
      <c r="O30"/>
      <c r="P30"/>
    </row>
    <row r="31" spans="1:16">
      <c r="A31" s="49" t="s">
        <v>510</v>
      </c>
      <c r="B31" s="8" t="s">
        <v>228</v>
      </c>
      <c r="C31" s="44">
        <v>2025</v>
      </c>
      <c r="D31" s="44">
        <v>630.92999999999995</v>
      </c>
      <c r="E31" s="78">
        <v>3650</v>
      </c>
      <c r="F31" s="157">
        <v>808.97</v>
      </c>
      <c r="G31" s="44">
        <v>0</v>
      </c>
      <c r="H31" s="44"/>
      <c r="I31" s="44"/>
      <c r="J31" s="44"/>
      <c r="K31" s="44"/>
      <c r="L31" s="44"/>
      <c r="M31" s="44"/>
      <c r="N31"/>
      <c r="O31"/>
      <c r="P31"/>
    </row>
    <row r="32" spans="1:16">
      <c r="C32" s="44"/>
      <c r="D32" s="44"/>
      <c r="E32" s="78"/>
      <c r="F32" s="157"/>
      <c r="G32" s="78"/>
      <c r="H32" s="44"/>
      <c r="I32" s="122"/>
      <c r="J32" s="122"/>
      <c r="K32" s="122"/>
      <c r="L32" s="122"/>
      <c r="M32" s="122"/>
      <c r="N32"/>
      <c r="O32"/>
      <c r="P32"/>
    </row>
    <row r="33" spans="1:16">
      <c r="B33" s="8" t="s">
        <v>13</v>
      </c>
      <c r="C33" s="16">
        <f>SUBTOTAL(109,ICSNExpenses[Budget 14/15])</f>
        <v>3500</v>
      </c>
      <c r="D33" s="16">
        <f>SUBTOTAL(109,ICSNExpenses[Actual 14/15])</f>
        <v>8347.92</v>
      </c>
      <c r="E33" s="16">
        <f>SUBTOTAL(109,ICSNExpenses[Budget 15/16])</f>
        <v>5247.4</v>
      </c>
      <c r="F33" s="140">
        <f>SUBTOTAL(109,ICSNExpenses[Actual 15/16])</f>
        <v>7205.09</v>
      </c>
      <c r="G33" s="16">
        <f>SUBTOTAL(109,ICSNExpenses[Budget 16/17])</f>
        <v>9330</v>
      </c>
      <c r="H33" s="16">
        <f>SUBTOTAL(109,ICSNExpenses[Actual 16/17])</f>
        <v>11413.05</v>
      </c>
      <c r="I33" s="16">
        <f>SUBTOTAL(109,ICSNExpenses[Budget 17/18])</f>
        <v>9518</v>
      </c>
      <c r="J33" s="20">
        <f>SUM(ICSNExpenses[Actual 17/18])</f>
        <v>5509.68</v>
      </c>
      <c r="K33" s="20">
        <f>SUM(ICSNExpenses[Budget 18/19])</f>
        <v>5658</v>
      </c>
      <c r="L33" s="1">
        <f>SUM(ICSNExpenses[Budget 19/20])</f>
        <v>4154</v>
      </c>
      <c r="N33"/>
      <c r="O33"/>
      <c r="P33"/>
    </row>
    <row r="34" spans="1:16" ht="13.5" thickBot="1">
      <c r="A34" s="26"/>
      <c r="C34" s="16"/>
      <c r="D34" s="16"/>
      <c r="E34" s="16"/>
      <c r="I34"/>
    </row>
    <row r="35" spans="1:16" ht="19.5" thickBot="1">
      <c r="B35" s="452" t="s">
        <v>102</v>
      </c>
      <c r="C35" s="82">
        <f>(ICSNRevenues[[#Totals],[Budget 14/15]]- ICSNCostofSales[[#Totals],[Budget 14/15]])-ICSNExpenses[[#Totals],[Budget 14/15]]</f>
        <v>0</v>
      </c>
      <c r="D35" s="82">
        <f>(ICSNRevenues[[#Totals],[Actual 14/15]]- ICSNCostofSales[[#Totals],[Actual 14/15]])-ICSNExpenses[[#Totals],[Actual 14/15]]</f>
        <v>-4919.0399999999991</v>
      </c>
      <c r="E35" s="82">
        <f>(ICSNRevenues[[#Totals],[Budget 15/16]]- ICSNCostofSales[[#Totals],[Budget 15/16]])-ICSNExpenses[[#Totals],[Budget 15/16]]</f>
        <v>-1747.3999999999996</v>
      </c>
      <c r="F35" s="82">
        <f>(ICSNRevenues[[#Totals],[Actual 15/16]]- ICSNCostofSales[[#Totals],[Actual 15/16]])-ICSNExpenses[[#Totals],[Actual 15/16]]</f>
        <v>-3125.3100000000013</v>
      </c>
      <c r="G35" s="90">
        <f>(ICSNRevenues[[#Totals],[Budget 16/17]]- ICSNCostofSales[[#Totals],[Budget 16/17]])-ICSNExpenses[[#Totals],[Budget 16/17]]</f>
        <v>-5330</v>
      </c>
      <c r="H35" s="90">
        <f>(ICSNRevenues[[#Totals],[Actuan 16/17]]- ICSNCostofSales[[#Totals],[Actual 16/17]])-ICSNExpenses[[#Totals],[Actual 16/17]]</f>
        <v>-9201.5499999999993</v>
      </c>
      <c r="I35" s="361">
        <f>(ICSNRevenues[[#Totals],[Budget 17/18]]- ICSNCostofSales[[#Totals],[Budget 17/18]])-ICSNExpenses[[#Totals],[Budget 17/18]]</f>
        <v>-6018</v>
      </c>
      <c r="J35" s="361">
        <f>(ICSNRevenues[[#Totals],[Actual 17/18]]- ICSNCostofSales[[#Totals],[Actual 17/18]])-ICSNExpenses[[#Totals],[Actual 17/18]]</f>
        <v>-5313.0399999999936</v>
      </c>
      <c r="K35" s="361">
        <f>(ICSNRevenues[[#Totals],[Budget 18/19]]- ICSNCostofSales[[#Totals],[Budget 18/19]])-ICSNExpenses[[#Totals],[Budget 18/19]]</f>
        <v>-3658</v>
      </c>
      <c r="L35" s="361">
        <f>(ICSNRevenues[[#Totals],[Budget 19/20]]- ICSNCostofSales[[#Totals],[Budget 19/20]])-ICSNExpenses[[#Totals],[Budget 19/20]]</f>
        <v>-2154</v>
      </c>
      <c r="M35" s="90"/>
    </row>
    <row r="36" spans="1:16">
      <c r="B36" s="26"/>
      <c r="C36" s="20"/>
      <c r="D36" s="20"/>
      <c r="E36" s="20"/>
    </row>
  </sheetData>
  <mergeCells count="1">
    <mergeCell ref="A1:D1"/>
  </mergeCells>
  <pageMargins left="0.7" right="0.7" top="0.75" bottom="0.75" header="0.3" footer="0.3"/>
  <pageSetup orientation="portrait" r:id="rId1"/>
  <legacyDrawing r:id="rId2"/>
  <tableParts count="3">
    <tablePart r:id="rId3"/>
    <tablePart r:id="rId4"/>
    <tablePart r:id="rId5"/>
  </tablePar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tabColor theme="1"/>
  </sheetPr>
  <dimension ref="A1:M29"/>
  <sheetViews>
    <sheetView zoomScale="115" zoomScaleNormal="115" workbookViewId="0">
      <selection activeCell="G34" sqref="G34"/>
    </sheetView>
  </sheetViews>
  <sheetFormatPr defaultRowHeight="12.75"/>
  <cols>
    <col min="1" max="1" width="12.5703125" style="8" customWidth="1"/>
    <col min="2" max="2" width="30.5703125" style="8" customWidth="1"/>
    <col min="3" max="3" width="15.42578125" style="8" hidden="1" customWidth="1"/>
    <col min="4" max="4" width="14.5703125" style="138" hidden="1" customWidth="1"/>
    <col min="5" max="5" width="14.5703125" style="8" hidden="1" customWidth="1"/>
    <col min="6" max="6" width="16.7109375" style="8" hidden="1" customWidth="1"/>
    <col min="7" max="7" width="18.5703125" style="8" customWidth="1"/>
    <col min="8" max="8" width="14.7109375" style="8" customWidth="1"/>
    <col min="9" max="9" width="15.5703125" style="8" customWidth="1"/>
    <col min="10" max="11" width="14.5703125" style="8" bestFit="1" customWidth="1"/>
    <col min="12" max="16384" width="9.140625" style="8"/>
  </cols>
  <sheetData>
    <row r="1" spans="1:13" ht="18">
      <c r="A1" s="534" t="s">
        <v>511</v>
      </c>
      <c r="B1" s="534"/>
    </row>
    <row r="2" spans="1:13">
      <c r="A2" s="28" t="s">
        <v>186</v>
      </c>
    </row>
    <row r="3" spans="1:13">
      <c r="F3"/>
      <c r="G3"/>
      <c r="H3"/>
      <c r="I3"/>
      <c r="J3"/>
      <c r="K3"/>
      <c r="L3"/>
      <c r="M3"/>
    </row>
    <row r="4" spans="1:13">
      <c r="B4" s="8" t="s">
        <v>47</v>
      </c>
      <c r="C4" s="16" t="s">
        <v>29</v>
      </c>
      <c r="D4" s="159" t="s">
        <v>30</v>
      </c>
      <c r="E4" s="16" t="s">
        <v>31</v>
      </c>
      <c r="F4" s="16" t="s">
        <v>32</v>
      </c>
      <c r="G4" s="16" t="s">
        <v>33</v>
      </c>
      <c r="H4" s="16" t="s">
        <v>34</v>
      </c>
      <c r="I4" s="16" t="s">
        <v>6</v>
      </c>
      <c r="J4" s="16" t="s">
        <v>8</v>
      </c>
      <c r="K4" s="16" t="s">
        <v>35</v>
      </c>
      <c r="L4"/>
      <c r="M4"/>
    </row>
    <row r="5" spans="1:13">
      <c r="A5" s="49" t="s">
        <v>512</v>
      </c>
      <c r="B5" s="8" t="s">
        <v>513</v>
      </c>
      <c r="C5" s="16">
        <v>3000</v>
      </c>
      <c r="D5" s="157">
        <v>750</v>
      </c>
      <c r="E5" s="44">
        <v>1500</v>
      </c>
      <c r="F5" s="122">
        <v>3000</v>
      </c>
      <c r="G5" s="122">
        <v>1500</v>
      </c>
      <c r="H5" s="122"/>
      <c r="I5" s="122">
        <v>1500</v>
      </c>
      <c r="J5" s="122">
        <v>0</v>
      </c>
      <c r="K5" s="122"/>
      <c r="L5" s="12"/>
      <c r="M5"/>
    </row>
    <row r="6" spans="1:13">
      <c r="A6" s="49"/>
      <c r="B6" s="26" t="s">
        <v>514</v>
      </c>
      <c r="C6" s="16">
        <v>6000</v>
      </c>
      <c r="D6" s="157">
        <v>0</v>
      </c>
      <c r="E6" s="44">
        <v>6000</v>
      </c>
      <c r="F6" s="122">
        <v>6000</v>
      </c>
      <c r="G6" s="122">
        <v>6000</v>
      </c>
      <c r="H6" s="122">
        <v>6000</v>
      </c>
      <c r="I6" s="122">
        <v>6000</v>
      </c>
      <c r="J6" s="122">
        <v>9000</v>
      </c>
      <c r="K6" s="122"/>
      <c r="L6"/>
      <c r="M6"/>
    </row>
    <row r="7" spans="1:13">
      <c r="A7" s="49" t="s">
        <v>515</v>
      </c>
      <c r="B7" s="8" t="s">
        <v>295</v>
      </c>
      <c r="C7" s="44">
        <v>0</v>
      </c>
      <c r="D7" s="157">
        <v>4349.8</v>
      </c>
      <c r="E7" s="44">
        <v>0</v>
      </c>
      <c r="F7" s="122">
        <v>2783</v>
      </c>
      <c r="G7" s="122">
        <v>2000</v>
      </c>
      <c r="H7" s="122"/>
      <c r="I7" s="122"/>
      <c r="J7" s="122"/>
      <c r="K7" s="122"/>
      <c r="L7"/>
      <c r="M7"/>
    </row>
    <row r="8" spans="1:13">
      <c r="A8" s="49" t="s">
        <v>516</v>
      </c>
      <c r="B8" s="8" t="s">
        <v>297</v>
      </c>
      <c r="C8" s="44">
        <v>0</v>
      </c>
      <c r="D8" s="157">
        <v>6000</v>
      </c>
      <c r="E8" s="44"/>
      <c r="F8" s="44"/>
      <c r="G8" s="122"/>
      <c r="H8" s="44"/>
      <c r="I8" s="122"/>
      <c r="J8" s="122"/>
      <c r="K8" s="122"/>
      <c r="L8"/>
      <c r="M8"/>
    </row>
    <row r="9" spans="1:13">
      <c r="A9" s="49"/>
      <c r="B9" s="8" t="s">
        <v>13</v>
      </c>
      <c r="C9" s="16">
        <f>SUBTOTAL(109,CoopConnectionRevenues[Budget 15/16])</f>
        <v>9000</v>
      </c>
      <c r="D9" s="140">
        <f>SUBTOTAL(109,CoopConnectionRevenues[Actual 15/16])</f>
        <v>11099.8</v>
      </c>
      <c r="E9" s="16">
        <f>SUBTOTAL(109,CoopConnectionRevenues[Budget 16/17])</f>
        <v>7500</v>
      </c>
      <c r="F9" s="16">
        <f>SUBTOTAL(109,CoopConnectionRevenues[Actual 16/17])</f>
        <v>11783</v>
      </c>
      <c r="G9" s="16">
        <f>SUBTOTAL(109,CoopConnectionRevenues[Budget 17/18])</f>
        <v>9500</v>
      </c>
      <c r="H9" s="20">
        <f>SUBTOTAL(109,CoopConnectionRevenues[Actual 17/18])</f>
        <v>6000</v>
      </c>
      <c r="I9" s="20">
        <f>SUM(CoopConnectionRevenues[Budget 18/19])</f>
        <v>7500</v>
      </c>
      <c r="J9" s="1">
        <f>SUM(CoopConnectionRevenues[Budget 19/20])</f>
        <v>9000</v>
      </c>
      <c r="K9" s="1"/>
      <c r="L9"/>
      <c r="M9"/>
    </row>
    <row r="10" spans="1:13">
      <c r="A10" s="49"/>
      <c r="C10" s="16"/>
      <c r="F10"/>
      <c r="G10"/>
      <c r="H10"/>
      <c r="I10"/>
      <c r="J10"/>
      <c r="K10"/>
      <c r="L10"/>
      <c r="M10"/>
    </row>
    <row r="11" spans="1:13">
      <c r="A11" s="49"/>
      <c r="B11" s="8" t="s">
        <v>61</v>
      </c>
      <c r="C11" s="15" t="s">
        <v>29</v>
      </c>
      <c r="D11" s="159" t="s">
        <v>30</v>
      </c>
      <c r="E11" s="16" t="s">
        <v>31</v>
      </c>
      <c r="F11" s="16" t="s">
        <v>32</v>
      </c>
      <c r="G11" s="16" t="s">
        <v>33</v>
      </c>
      <c r="H11" s="16" t="s">
        <v>34</v>
      </c>
      <c r="I11" s="16" t="s">
        <v>6</v>
      </c>
      <c r="J11" s="16" t="s">
        <v>8</v>
      </c>
      <c r="K11" s="16" t="s">
        <v>35</v>
      </c>
      <c r="L11"/>
      <c r="M11"/>
    </row>
    <row r="12" spans="1:13">
      <c r="A12" s="49" t="s">
        <v>517</v>
      </c>
      <c r="B12" s="8" t="s">
        <v>70</v>
      </c>
      <c r="C12" s="15">
        <v>0</v>
      </c>
      <c r="D12" s="167">
        <v>0</v>
      </c>
      <c r="E12" s="15">
        <v>0</v>
      </c>
      <c r="F12" s="1"/>
      <c r="G12" s="1"/>
      <c r="H12" s="1"/>
      <c r="I12" s="1"/>
      <c r="J12" s="1"/>
      <c r="K12" s="1"/>
      <c r="L12"/>
      <c r="M12"/>
    </row>
    <row r="13" spans="1:13">
      <c r="A13" s="49" t="s">
        <v>518</v>
      </c>
      <c r="B13" s="8" t="s">
        <v>77</v>
      </c>
      <c r="C13" s="15">
        <v>10</v>
      </c>
      <c r="D13" s="167">
        <v>0</v>
      </c>
      <c r="E13" s="15">
        <v>10</v>
      </c>
      <c r="F13" s="1"/>
      <c r="G13" s="1">
        <v>10</v>
      </c>
      <c r="H13" s="1"/>
      <c r="I13" s="1">
        <v>10</v>
      </c>
      <c r="J13" s="1">
        <v>10</v>
      </c>
      <c r="K13" s="1"/>
      <c r="L13"/>
      <c r="M13"/>
    </row>
    <row r="14" spans="1:13">
      <c r="A14" s="49" t="s">
        <v>519</v>
      </c>
      <c r="B14" s="8" t="s">
        <v>81</v>
      </c>
      <c r="C14" s="15">
        <v>300</v>
      </c>
      <c r="D14" s="149">
        <v>154.38999999999999</v>
      </c>
      <c r="E14" s="15">
        <v>300</v>
      </c>
      <c r="F14" s="1">
        <v>298.5</v>
      </c>
      <c r="G14" s="1">
        <v>300</v>
      </c>
      <c r="H14" s="1">
        <v>19.02</v>
      </c>
      <c r="I14" s="1">
        <v>100</v>
      </c>
      <c r="J14" s="1">
        <v>0</v>
      </c>
      <c r="K14" s="1"/>
      <c r="L14"/>
      <c r="M14"/>
    </row>
    <row r="15" spans="1:13">
      <c r="A15" s="49" t="s">
        <v>520</v>
      </c>
      <c r="B15" s="8" t="s">
        <v>521</v>
      </c>
      <c r="C15" s="15"/>
      <c r="D15" s="168"/>
      <c r="E15" s="15"/>
      <c r="F15" s="1">
        <v>172.53</v>
      </c>
      <c r="G15" s="1"/>
      <c r="H15" s="1"/>
      <c r="I15" s="1"/>
      <c r="J15" s="1"/>
      <c r="K15" s="1"/>
      <c r="L15"/>
      <c r="M15"/>
    </row>
    <row r="16" spans="1:13">
      <c r="A16" s="49" t="s">
        <v>522</v>
      </c>
      <c r="B16" s="8" t="s">
        <v>226</v>
      </c>
      <c r="C16" s="15">
        <v>120</v>
      </c>
      <c r="D16" s="149">
        <v>118.1</v>
      </c>
      <c r="E16" s="15">
        <v>100</v>
      </c>
      <c r="F16" s="1"/>
      <c r="G16" s="1">
        <v>100</v>
      </c>
      <c r="H16" s="1"/>
      <c r="I16" s="1">
        <v>25</v>
      </c>
      <c r="J16" s="1">
        <v>0</v>
      </c>
      <c r="K16" s="1"/>
      <c r="L16"/>
      <c r="M16"/>
    </row>
    <row r="17" spans="1:13">
      <c r="A17" s="49" t="s">
        <v>523</v>
      </c>
      <c r="B17" s="8" t="s">
        <v>89</v>
      </c>
      <c r="C17" s="15">
        <v>600</v>
      </c>
      <c r="D17" s="149">
        <v>1163.24</v>
      </c>
      <c r="E17" s="15">
        <v>600</v>
      </c>
      <c r="F17" s="15">
        <v>400</v>
      </c>
      <c r="G17" s="1">
        <v>450</v>
      </c>
      <c r="H17" s="15">
        <v>239.11</v>
      </c>
      <c r="I17" s="1">
        <v>400</v>
      </c>
      <c r="J17" s="1">
        <v>200</v>
      </c>
      <c r="K17" s="1"/>
      <c r="L17"/>
      <c r="M17"/>
    </row>
    <row r="18" spans="1:13">
      <c r="A18" s="49" t="s">
        <v>523</v>
      </c>
      <c r="B18" s="8" t="s">
        <v>228</v>
      </c>
      <c r="C18" s="15">
        <v>10500</v>
      </c>
      <c r="D18" s="149">
        <v>9042.33</v>
      </c>
      <c r="E18" s="15">
        <v>11000</v>
      </c>
      <c r="F18" s="1">
        <v>10940.23</v>
      </c>
      <c r="G18" s="1">
        <v>11000</v>
      </c>
      <c r="H18" s="1">
        <v>10139.16</v>
      </c>
      <c r="I18" s="1">
        <v>9000</v>
      </c>
      <c r="J18" s="483">
        <v>10000</v>
      </c>
      <c r="K18" s="1"/>
      <c r="L18" t="s">
        <v>524</v>
      </c>
      <c r="M18"/>
    </row>
    <row r="19" spans="1:13">
      <c r="A19" s="49" t="s">
        <v>520</v>
      </c>
      <c r="B19" s="8" t="s">
        <v>525</v>
      </c>
      <c r="C19" s="15">
        <v>500</v>
      </c>
      <c r="D19" s="149">
        <v>85.61</v>
      </c>
      <c r="E19" s="15">
        <v>900</v>
      </c>
      <c r="F19" s="1"/>
      <c r="G19" s="1">
        <v>450</v>
      </c>
      <c r="H19" s="1"/>
      <c r="I19" s="1"/>
      <c r="J19" s="1"/>
      <c r="K19" s="1"/>
      <c r="L19"/>
      <c r="M19"/>
    </row>
    <row r="20" spans="1:13">
      <c r="A20" s="49" t="s">
        <v>526</v>
      </c>
      <c r="B20" s="8" t="s">
        <v>116</v>
      </c>
      <c r="C20" s="15">
        <v>570</v>
      </c>
      <c r="D20" s="149">
        <v>365.64</v>
      </c>
      <c r="E20" s="15">
        <v>600</v>
      </c>
      <c r="F20" s="15">
        <v>374.9</v>
      </c>
      <c r="G20" s="15">
        <v>500</v>
      </c>
      <c r="H20" s="15">
        <v>625.1</v>
      </c>
      <c r="I20" s="15">
        <v>400</v>
      </c>
      <c r="J20" s="15">
        <v>400</v>
      </c>
      <c r="K20" s="15"/>
    </row>
    <row r="21" spans="1:13">
      <c r="A21" s="49"/>
      <c r="B21" s="8" t="s">
        <v>13</v>
      </c>
      <c r="C21" s="16">
        <f>SUBTOTAL(109,CoopConnectionExpenses[Budget 15/16])</f>
        <v>12600</v>
      </c>
      <c r="D21" s="140">
        <f>SUBTOTAL(109,CoopConnectionExpenses[Actual 15/16])</f>
        <v>10929.31</v>
      </c>
      <c r="E21" s="16">
        <f>SUBTOTAL(109,CoopConnectionExpenses[Budget 16/17])</f>
        <v>13510</v>
      </c>
      <c r="F21" s="16">
        <f>SUBTOTAL(109,CoopConnectionExpenses[Actual 16/17])</f>
        <v>12186.16</v>
      </c>
      <c r="G21" s="16">
        <f>SUBTOTAL(109,CoopConnectionExpenses[Budget 17/18])</f>
        <v>12810</v>
      </c>
      <c r="H21" s="20">
        <f>SUBTOTAL(109,CoopConnectionExpenses[Actual 17/18])</f>
        <v>11022.39</v>
      </c>
      <c r="I21" s="20">
        <f>SUM(I12:I20)</f>
        <v>9935</v>
      </c>
      <c r="J21" s="1">
        <f>SUM(J12:J20)</f>
        <v>10610</v>
      </c>
      <c r="K21" s="217"/>
      <c r="L21" s="15"/>
    </row>
    <row r="22" spans="1:13" ht="13.5" thickBot="1">
      <c r="C22" s="44"/>
      <c r="D22" s="166"/>
    </row>
    <row r="23" spans="1:13" ht="19.5" thickBot="1">
      <c r="B23" s="452" t="s">
        <v>102</v>
      </c>
      <c r="C23" s="27">
        <f>CoopConnectionRevenues[[#Totals],[Budget 15/16]]-CoopConnectionExpenses[[#Totals],[Budget 15/16]]</f>
        <v>-3600</v>
      </c>
      <c r="D23" s="27">
        <f>CoopConnectionRevenues[[#Totals],[Actual 15/16]]-CoopConnectionExpenses[[#Totals],[Actual 15/16]]</f>
        <v>170.48999999999978</v>
      </c>
      <c r="E23" s="66">
        <f>CoopConnectionRevenues[[#Totals],[Budget 16/17]]-CoopConnectionExpenses[[#Totals],[Budget 16/17]]</f>
        <v>-6010</v>
      </c>
      <c r="F23" s="66">
        <f>CoopConnectionRevenues[[#Totals],[Actual 16/17]]-CoopConnectionExpenses[[#Totals],[Actual 16/17]]</f>
        <v>-403.15999999999985</v>
      </c>
      <c r="G23" s="66">
        <f>CoopConnectionRevenues[[#Totals],[Budget 17/18]]-CoopConnectionExpenses[[#Totals],[Budget 17/18]]</f>
        <v>-3310</v>
      </c>
      <c r="H23" s="66">
        <f>CoopConnectionRevenues[[#Totals],[Actual 17/18]]-CoopConnectionExpenses[[#Totals],[Actual 17/18]]</f>
        <v>-5022.3899999999994</v>
      </c>
      <c r="I23" s="66">
        <f>CoopConnectionRevenues[[#Totals],[Budget 18/19]]-CoopConnectionExpenses[[#Totals],[Budget 18/19]]</f>
        <v>-2435</v>
      </c>
      <c r="J23" s="66">
        <f>CoopConnectionRevenues[[#Totals],[Budget 19/20]]-CoopConnectionExpenses[[#Totals],[Budget 19/20]]</f>
        <v>-1610</v>
      </c>
      <c r="K23" s="66"/>
    </row>
    <row r="24" spans="1:13">
      <c r="C24" s="44"/>
      <c r="J24"/>
    </row>
    <row r="25" spans="1:13">
      <c r="C25" s="44"/>
    </row>
    <row r="26" spans="1:13">
      <c r="C26" s="44"/>
    </row>
    <row r="27" spans="1:13">
      <c r="C27" s="16"/>
    </row>
    <row r="29" spans="1:13">
      <c r="A29" s="540"/>
      <c r="B29" s="540"/>
      <c r="C29" s="20"/>
    </row>
  </sheetData>
  <mergeCells count="2">
    <mergeCell ref="A1:B1"/>
    <mergeCell ref="A29:B29"/>
  </mergeCells>
  <pageMargins left="0.7" right="0.7" top="0.75" bottom="0.75" header="0.3" footer="0.3"/>
  <pageSetup orientation="portrait" r:id="rId1"/>
  <legacyDrawing r:id="rId2"/>
  <tableParts count="2">
    <tablePart r:id="rId3"/>
    <tablePart r:id="rId4"/>
  </tablePar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1"/>
  </sheetPr>
  <dimension ref="A1:M32"/>
  <sheetViews>
    <sheetView zoomScale="115" zoomScaleNormal="115" workbookViewId="0">
      <selection activeCell="J19" sqref="J19"/>
    </sheetView>
  </sheetViews>
  <sheetFormatPr defaultRowHeight="12.75"/>
  <cols>
    <col min="1" max="1" width="15.28515625" style="8" bestFit="1" customWidth="1"/>
    <col min="2" max="2" width="25" style="8" customWidth="1"/>
    <col min="3" max="3" width="15.42578125" style="8" hidden="1" customWidth="1"/>
    <col min="4" max="4" width="16" style="138" hidden="1" customWidth="1"/>
    <col min="5" max="5" width="15.42578125" style="8" hidden="1" customWidth="1"/>
    <col min="6" max="6" width="17.42578125" style="8" hidden="1" customWidth="1"/>
    <col min="7" max="7" width="18.85546875" style="8" customWidth="1"/>
    <col min="8" max="8" width="15.28515625" style="8" customWidth="1"/>
    <col min="9" max="9" width="16.85546875" style="8" customWidth="1"/>
    <col min="10" max="11" width="14.5703125" style="8" bestFit="1" customWidth="1"/>
    <col min="12" max="16384" width="9.140625" style="8"/>
  </cols>
  <sheetData>
    <row r="1" spans="1:13" ht="18">
      <c r="A1" s="534" t="s">
        <v>527</v>
      </c>
      <c r="B1" s="546"/>
    </row>
    <row r="2" spans="1:13">
      <c r="A2" s="28" t="s">
        <v>186</v>
      </c>
    </row>
    <row r="4" spans="1:13">
      <c r="A4" s="48" t="s">
        <v>107</v>
      </c>
      <c r="B4" s="8" t="s">
        <v>47</v>
      </c>
      <c r="C4" s="16" t="s">
        <v>29</v>
      </c>
      <c r="D4" s="160" t="s">
        <v>30</v>
      </c>
      <c r="E4" s="8" t="s">
        <v>31</v>
      </c>
      <c r="F4" s="8" t="s">
        <v>32</v>
      </c>
      <c r="G4" s="8" t="s">
        <v>33</v>
      </c>
      <c r="H4" s="8" t="s">
        <v>34</v>
      </c>
      <c r="I4" s="8" t="s">
        <v>528</v>
      </c>
      <c r="J4" s="8" t="s">
        <v>529</v>
      </c>
      <c r="K4" s="8" t="s">
        <v>530</v>
      </c>
    </row>
    <row r="5" spans="1:13">
      <c r="A5" s="48" t="s">
        <v>531</v>
      </c>
      <c r="B5" s="8" t="s">
        <v>295</v>
      </c>
      <c r="C5" s="16">
        <v>0</v>
      </c>
      <c r="D5" s="140">
        <v>0</v>
      </c>
      <c r="E5" s="16">
        <v>0</v>
      </c>
      <c r="F5" s="16">
        <v>63</v>
      </c>
      <c r="G5" s="16"/>
      <c r="H5" s="16"/>
      <c r="I5" s="16"/>
      <c r="J5" s="16"/>
      <c r="K5" s="16"/>
    </row>
    <row r="6" spans="1:13">
      <c r="B6" s="222" t="s">
        <v>13</v>
      </c>
      <c r="C6" s="313">
        <f>SUBTOTAL(109,VolunteerCentreRevenues[Budget 15/16])</f>
        <v>0</v>
      </c>
      <c r="D6" s="314">
        <f>SUBTOTAL(109,VolunteerCentreRevenues[Actual 15/16])</f>
        <v>0</v>
      </c>
      <c r="E6" s="313">
        <f>SUBTOTAL(109,VolunteerCentreRevenues[Budget 16/17])</f>
        <v>0</v>
      </c>
      <c r="F6" s="313">
        <f>SUBTOTAL(109,VolunteerCentreRevenues[Actual 16/17])</f>
        <v>63</v>
      </c>
      <c r="G6" s="313">
        <f>SUBTOTAL(109,VolunteerCentreRevenues[Budget 17/18])</f>
        <v>0</v>
      </c>
      <c r="H6" s="222">
        <f>SUBTOTAL(109,VolunteerCentreRevenues[Revenues])</f>
        <v>0</v>
      </c>
      <c r="I6" s="222"/>
      <c r="J6" s="222"/>
      <c r="K6" s="222"/>
    </row>
    <row r="7" spans="1:13">
      <c r="C7" s="44"/>
      <c r="D7" s="157"/>
      <c r="E7" s="44"/>
      <c r="G7"/>
      <c r="H7"/>
      <c r="I7"/>
      <c r="J7"/>
      <c r="K7"/>
      <c r="L7"/>
      <c r="M7"/>
    </row>
    <row r="8" spans="1:13">
      <c r="A8" s="75" t="s">
        <v>107</v>
      </c>
      <c r="B8" s="8" t="s">
        <v>61</v>
      </c>
      <c r="C8" s="44" t="s">
        <v>29</v>
      </c>
      <c r="D8" s="160" t="s">
        <v>30</v>
      </c>
      <c r="E8" s="8" t="s">
        <v>31</v>
      </c>
      <c r="F8" s="44" t="s">
        <v>32</v>
      </c>
      <c r="G8" s="44" t="s">
        <v>33</v>
      </c>
      <c r="H8" s="44" t="s">
        <v>34</v>
      </c>
      <c r="I8" s="44" t="s">
        <v>6</v>
      </c>
      <c r="J8" s="44" t="s">
        <v>8</v>
      </c>
      <c r="K8" s="44" t="s">
        <v>105</v>
      </c>
      <c r="L8"/>
      <c r="M8"/>
    </row>
    <row r="9" spans="1:13">
      <c r="A9" s="48" t="s">
        <v>532</v>
      </c>
      <c r="B9" s="8" t="s">
        <v>226</v>
      </c>
      <c r="C9" s="16">
        <v>250</v>
      </c>
      <c r="D9" s="157">
        <v>0</v>
      </c>
      <c r="E9" s="44">
        <v>100</v>
      </c>
      <c r="F9" s="15"/>
      <c r="G9" s="4">
        <v>100</v>
      </c>
      <c r="H9" s="4">
        <v>199.85</v>
      </c>
      <c r="I9" s="4">
        <v>100</v>
      </c>
      <c r="J9" s="4">
        <v>0</v>
      </c>
      <c r="K9" s="4"/>
      <c r="L9"/>
      <c r="M9"/>
    </row>
    <row r="10" spans="1:13">
      <c r="A10" s="48" t="s">
        <v>533</v>
      </c>
      <c r="B10" s="8" t="s">
        <v>341</v>
      </c>
      <c r="C10" s="16">
        <v>1080</v>
      </c>
      <c r="D10" s="157">
        <v>184.07</v>
      </c>
      <c r="E10" s="44">
        <v>1050</v>
      </c>
      <c r="F10" s="15">
        <v>633.70000000000005</v>
      </c>
      <c r="G10" s="4">
        <v>660</v>
      </c>
      <c r="H10" s="4">
        <v>370</v>
      </c>
      <c r="I10" s="4">
        <v>540</v>
      </c>
      <c r="J10" s="4">
        <v>160</v>
      </c>
      <c r="K10" s="4"/>
      <c r="L10"/>
      <c r="M10"/>
    </row>
    <row r="11" spans="1:13">
      <c r="A11" s="48" t="s">
        <v>534</v>
      </c>
      <c r="B11" s="8" t="s">
        <v>70</v>
      </c>
      <c r="C11" s="44">
        <v>275</v>
      </c>
      <c r="D11" s="157">
        <v>208.45</v>
      </c>
      <c r="E11" s="44">
        <v>275</v>
      </c>
      <c r="F11" s="15">
        <v>208.45</v>
      </c>
      <c r="G11" s="4">
        <v>138</v>
      </c>
      <c r="H11" s="4">
        <v>208.45</v>
      </c>
      <c r="I11" s="4">
        <v>138</v>
      </c>
      <c r="J11" s="4">
        <v>138</v>
      </c>
      <c r="K11" s="4"/>
      <c r="L11"/>
      <c r="M11"/>
    </row>
    <row r="12" spans="1:13">
      <c r="A12" s="48" t="s">
        <v>535</v>
      </c>
      <c r="B12" s="8" t="s">
        <v>77</v>
      </c>
      <c r="C12" s="16">
        <v>50</v>
      </c>
      <c r="D12" s="157">
        <v>1.36</v>
      </c>
      <c r="E12" s="44">
        <v>25</v>
      </c>
      <c r="F12" s="15"/>
      <c r="G12" s="4">
        <v>25</v>
      </c>
      <c r="H12" s="4">
        <v>3.86</v>
      </c>
      <c r="I12" s="4">
        <v>25</v>
      </c>
      <c r="J12" s="4">
        <v>5</v>
      </c>
      <c r="K12" s="4"/>
      <c r="L12"/>
      <c r="M12"/>
    </row>
    <row r="13" spans="1:13">
      <c r="A13" s="48" t="s">
        <v>536</v>
      </c>
      <c r="B13" s="8" t="s">
        <v>81</v>
      </c>
      <c r="C13" s="8">
        <v>150</v>
      </c>
      <c r="D13" s="157">
        <v>48.54</v>
      </c>
      <c r="E13" s="44">
        <v>150</v>
      </c>
      <c r="F13" s="15">
        <v>105.1</v>
      </c>
      <c r="G13" s="4">
        <v>175</v>
      </c>
      <c r="H13" s="4">
        <v>139.21</v>
      </c>
      <c r="I13" s="4">
        <v>175</v>
      </c>
      <c r="J13" s="4">
        <v>80</v>
      </c>
      <c r="K13" s="4"/>
      <c r="L13"/>
      <c r="M13"/>
    </row>
    <row r="14" spans="1:13">
      <c r="A14" s="48" t="s">
        <v>537</v>
      </c>
      <c r="B14" s="8" t="s">
        <v>289</v>
      </c>
      <c r="C14" s="77">
        <v>0</v>
      </c>
      <c r="D14" s="157">
        <v>1.92</v>
      </c>
      <c r="F14" s="15"/>
      <c r="G14" s="4"/>
      <c r="H14" s="4"/>
      <c r="I14" s="4"/>
      <c r="J14" s="4"/>
      <c r="K14" s="4"/>
      <c r="L14"/>
      <c r="M14"/>
    </row>
    <row r="15" spans="1:13">
      <c r="A15" s="48" t="s">
        <v>538</v>
      </c>
      <c r="B15" s="8" t="s">
        <v>87</v>
      </c>
      <c r="C15" s="16">
        <v>1200</v>
      </c>
      <c r="D15" s="157">
        <v>0</v>
      </c>
      <c r="E15" s="44">
        <v>800</v>
      </c>
      <c r="F15" s="15"/>
      <c r="G15" s="4"/>
      <c r="H15" s="4"/>
      <c r="I15" s="4"/>
      <c r="J15" s="4"/>
      <c r="K15" s="4"/>
      <c r="L15"/>
      <c r="M15"/>
    </row>
    <row r="16" spans="1:13">
      <c r="A16" s="48" t="s">
        <v>539</v>
      </c>
      <c r="B16" s="8" t="s">
        <v>540</v>
      </c>
      <c r="C16" s="16">
        <v>1000</v>
      </c>
      <c r="D16" s="157">
        <v>450</v>
      </c>
      <c r="E16" s="44">
        <v>800</v>
      </c>
      <c r="F16" s="15">
        <v>28.53</v>
      </c>
      <c r="G16" s="4">
        <v>400</v>
      </c>
      <c r="H16" s="4">
        <v>11.2</v>
      </c>
      <c r="I16" s="4">
        <v>150</v>
      </c>
      <c r="J16" s="4">
        <v>25</v>
      </c>
      <c r="K16" s="4"/>
      <c r="L16"/>
      <c r="M16"/>
    </row>
    <row r="17" spans="1:13">
      <c r="A17" s="48"/>
      <c r="B17" s="8" t="s">
        <v>541</v>
      </c>
      <c r="C17" s="16"/>
      <c r="D17" s="157"/>
      <c r="E17" s="44"/>
      <c r="F17" s="15"/>
      <c r="G17" s="4">
        <v>2500</v>
      </c>
      <c r="H17" s="4">
        <v>300</v>
      </c>
      <c r="I17" s="4">
        <v>1500</v>
      </c>
      <c r="J17" s="4">
        <v>1000</v>
      </c>
      <c r="K17" s="4"/>
      <c r="L17"/>
      <c r="M17"/>
    </row>
    <row r="18" spans="1:13">
      <c r="A18" s="48" t="s">
        <v>542</v>
      </c>
      <c r="B18" s="8" t="s">
        <v>228</v>
      </c>
      <c r="C18" s="16">
        <v>600</v>
      </c>
      <c r="D18" s="157">
        <v>823.99</v>
      </c>
      <c r="E18" s="44">
        <v>850</v>
      </c>
      <c r="F18" s="15">
        <v>935.8</v>
      </c>
      <c r="G18" s="4">
        <v>1000</v>
      </c>
      <c r="H18" s="4">
        <v>1111.54</v>
      </c>
      <c r="I18" s="4">
        <v>1000</v>
      </c>
      <c r="J18" s="4">
        <v>20</v>
      </c>
      <c r="K18" s="4"/>
      <c r="L18"/>
      <c r="M18"/>
    </row>
    <row r="19" spans="1:13">
      <c r="B19" s="8" t="s">
        <v>13</v>
      </c>
      <c r="C19" s="16">
        <f>SUBTOTAL(109,VolunteerCentreExpenses[Budget 15/16])</f>
        <v>4605</v>
      </c>
      <c r="D19" s="140">
        <f>SUBTOTAL(109,VolunteerCentreExpenses[Actual 15/16])</f>
        <v>1718.33</v>
      </c>
      <c r="E19" s="16">
        <f>SUBTOTAL(109,VolunteerCentreExpenses[Budget 16/17])</f>
        <v>4050</v>
      </c>
      <c r="F19" s="16">
        <f>SUBTOTAL(109,VolunteerCentreExpenses[Actual 16/17])</f>
        <v>1911.58</v>
      </c>
      <c r="G19" s="16">
        <f>SUBTOTAL(109,VolunteerCentreExpenses[Budget 17/18])</f>
        <v>4998</v>
      </c>
      <c r="H19" s="8">
        <f>SUBTOTAL(109,VolunteerCentreExpenses[Actual 17/18])</f>
        <v>2344.11</v>
      </c>
      <c r="I19" s="1">
        <f>SUBTOTAL(109,VolunteerCentreExpenses[Budget 18/19])</f>
        <v>3628</v>
      </c>
      <c r="J19" s="1">
        <f>SUBTOTAL(109,VolunteerCentreExpenses[Budget 19/20])</f>
        <v>1428</v>
      </c>
      <c r="K19" s="1"/>
      <c r="L19"/>
      <c r="M19"/>
    </row>
    <row r="20" spans="1:13" ht="13.5" thickBot="1">
      <c r="E20" s="16"/>
      <c r="G20"/>
      <c r="H20"/>
      <c r="I20"/>
      <c r="J20"/>
      <c r="K20"/>
      <c r="L20"/>
      <c r="M20"/>
    </row>
    <row r="21" spans="1:13" ht="19.5" thickBot="1">
      <c r="B21" s="452" t="s">
        <v>102</v>
      </c>
      <c r="C21" s="27">
        <f>VolunteerCentreRevenues[[#Totals],[Budget 15/16]]-VolunteerCentreExpenses[[#Totals],[Budget 15/16]]</f>
        <v>-4605</v>
      </c>
      <c r="D21" s="27">
        <f>VolunteerCentreRevenues[[#Totals],[Actual 15/16]]-VolunteerCentreExpenses[[#Totals],[Actual 15/16]]</f>
        <v>-1718.33</v>
      </c>
      <c r="E21" s="66">
        <f>VolunteerCentreRevenues[[#Totals],[Budget 16/17]]-VolunteerCentreExpenses[[#Totals],[Budget 16/17]]</f>
        <v>-4050</v>
      </c>
      <c r="F21" s="66">
        <f>VolunteerCentreRevenues[[#Totals],[Actual 16/17]]-VolunteerCentreExpenses[[#Totals],[Actual 16/17]]</f>
        <v>-1848.58</v>
      </c>
      <c r="G21" s="66">
        <f>VolunteerCentreRevenues[[#Totals],[Budget 17/18]]-VolunteerCentreExpenses[[#Totals],[Budget 17/18]]</f>
        <v>-4998</v>
      </c>
      <c r="H21" s="66">
        <f>VolunteerCentreRevenues[[#Totals],[Actual 17/18]]-VolunteerCentreExpenses[[#Totals],[Actual 17/18]]</f>
        <v>-2344.11</v>
      </c>
      <c r="I21" s="66">
        <f>VolunteerCentreRevenues[[#Totals],[Budge 18/19]]-VolunteerCentreExpenses[[#Totals],[Budget 18/19]]</f>
        <v>-3628</v>
      </c>
      <c r="J21" s="66">
        <f>VolunteerCentreRevenues[[#Totals],[Budge 19/20]]-VolunteerCentreExpenses[[#Totals],[Budget 19/20]]</f>
        <v>-1428</v>
      </c>
      <c r="K21" s="66"/>
      <c r="L21"/>
      <c r="M21"/>
    </row>
    <row r="22" spans="1:13">
      <c r="C22" s="44"/>
      <c r="D22" s="157"/>
      <c r="E22" s="78"/>
      <c r="G22"/>
      <c r="H22"/>
      <c r="I22"/>
      <c r="J22"/>
      <c r="K22"/>
      <c r="L22"/>
      <c r="M22"/>
    </row>
    <row r="23" spans="1:13">
      <c r="C23" s="44"/>
      <c r="D23" s="157"/>
      <c r="E23" s="79"/>
    </row>
    <row r="24" spans="1:13">
      <c r="C24" s="44"/>
      <c r="D24" s="157"/>
      <c r="E24" s="78"/>
    </row>
    <row r="25" spans="1:13">
      <c r="C25" s="44"/>
      <c r="D25" s="157"/>
      <c r="E25" s="78"/>
    </row>
    <row r="26" spans="1:13">
      <c r="C26" s="44"/>
      <c r="D26" s="157"/>
      <c r="E26" s="78"/>
    </row>
    <row r="27" spans="1:13">
      <c r="C27" s="44"/>
      <c r="D27" s="157"/>
      <c r="E27" s="78"/>
    </row>
    <row r="28" spans="1:13">
      <c r="C28" s="44"/>
      <c r="D28" s="157"/>
      <c r="E28" s="78"/>
    </row>
    <row r="29" spans="1:13">
      <c r="C29" s="44"/>
      <c r="D29" s="157"/>
      <c r="E29" s="78"/>
    </row>
    <row r="30" spans="1:13">
      <c r="C30" s="16"/>
      <c r="D30" s="140"/>
      <c r="E30" s="16"/>
    </row>
    <row r="32" spans="1:13">
      <c r="A32" s="540"/>
      <c r="B32" s="540"/>
      <c r="C32" s="20"/>
      <c r="D32" s="169"/>
      <c r="E32" s="20"/>
    </row>
  </sheetData>
  <mergeCells count="2">
    <mergeCell ref="A1:B1"/>
    <mergeCell ref="A32:B32"/>
  </mergeCells>
  <pageMargins left="0.7" right="0.7" top="0.75" bottom="0.75" header="0.3" footer="0.3"/>
  <pageSetup orientation="portrait" r:id="rId1"/>
  <legacyDrawing r:id="rId2"/>
  <tableParts count="2">
    <tablePart r:id="rId3"/>
    <tablePart r:id="rId4"/>
  </tablePar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tabColor theme="1"/>
  </sheetPr>
  <dimension ref="A1:G30"/>
  <sheetViews>
    <sheetView zoomScale="90" zoomScaleNormal="90" workbookViewId="0">
      <selection activeCell="J43" sqref="J43"/>
    </sheetView>
  </sheetViews>
  <sheetFormatPr defaultRowHeight="12.75"/>
  <cols>
    <col min="1" max="1" width="15.28515625" style="8" bestFit="1" customWidth="1"/>
    <col min="2" max="2" width="25" style="8" customWidth="1"/>
    <col min="3" max="3" width="15.42578125" style="8" bestFit="1" customWidth="1"/>
    <col min="4" max="4" width="16" style="8" bestFit="1" customWidth="1"/>
    <col min="5" max="5" width="15.42578125" style="8" bestFit="1" customWidth="1"/>
    <col min="6" max="6" width="14.85546875" style="8" customWidth="1"/>
    <col min="7" max="7" width="16.85546875" style="8" customWidth="1"/>
    <col min="8" max="16384" width="9.140625" style="8"/>
  </cols>
  <sheetData>
    <row r="1" spans="1:7" ht="18">
      <c r="A1" s="534" t="s">
        <v>543</v>
      </c>
      <c r="B1" s="546"/>
    </row>
    <row r="2" spans="1:7">
      <c r="A2" s="28" t="s">
        <v>544</v>
      </c>
    </row>
    <row r="4" spans="1:7">
      <c r="A4" s="48" t="s">
        <v>107</v>
      </c>
      <c r="B4" s="8" t="s">
        <v>47</v>
      </c>
      <c r="C4" s="8" t="s">
        <v>31</v>
      </c>
      <c r="D4" s="8" t="s">
        <v>32</v>
      </c>
      <c r="E4" s="8" t="s">
        <v>33</v>
      </c>
      <c r="F4" s="8" t="s">
        <v>34</v>
      </c>
      <c r="G4" s="8" t="s">
        <v>6</v>
      </c>
    </row>
    <row r="5" spans="1:7">
      <c r="A5" s="48" t="s">
        <v>545</v>
      </c>
      <c r="B5" s="8" t="s">
        <v>295</v>
      </c>
      <c r="C5" s="16">
        <v>0</v>
      </c>
      <c r="F5" s="8">
        <v>160</v>
      </c>
      <c r="G5" s="8">
        <v>150</v>
      </c>
    </row>
    <row r="6" spans="1:7">
      <c r="B6" s="8" t="s">
        <v>13</v>
      </c>
      <c r="C6" s="16">
        <f>SUBTOTAL(109,WarriorTribeRevenues[Budget 16/17])</f>
        <v>0</v>
      </c>
      <c r="D6" s="16">
        <f>SUBTOTAL(109,WarriorTribeRevenues[Actual 16/17])</f>
        <v>0</v>
      </c>
      <c r="E6" s="16">
        <f>SUBTOTAL(109,WarriorTribeRevenues[Budget 17/18])</f>
        <v>0</v>
      </c>
      <c r="F6" s="1">
        <f>SUBTOTAL(109,WarriorTribeRevenues[Actual 17/18])</f>
        <v>160</v>
      </c>
      <c r="G6" s="1">
        <f>SUBTOTAL(109,WarriorTribeRevenues[Budget 18/19])</f>
        <v>150</v>
      </c>
    </row>
    <row r="7" spans="1:7">
      <c r="C7" s="44"/>
      <c r="D7" s="44"/>
      <c r="E7" s="44"/>
    </row>
    <row r="8" spans="1:7">
      <c r="A8" s="75" t="s">
        <v>107</v>
      </c>
      <c r="B8" s="8" t="s">
        <v>61</v>
      </c>
      <c r="C8" s="8" t="s">
        <v>31</v>
      </c>
      <c r="D8" s="44" t="s">
        <v>546</v>
      </c>
      <c r="E8" s="44" t="s">
        <v>33</v>
      </c>
      <c r="F8" s="44" t="s">
        <v>34</v>
      </c>
      <c r="G8" s="44" t="s">
        <v>6</v>
      </c>
    </row>
    <row r="9" spans="1:7">
      <c r="A9" s="48" t="s">
        <v>547</v>
      </c>
      <c r="B9" s="8" t="s">
        <v>226</v>
      </c>
      <c r="C9" s="44">
        <v>150</v>
      </c>
      <c r="D9" s="8">
        <v>109.3</v>
      </c>
      <c r="E9" s="15">
        <v>150</v>
      </c>
      <c r="F9" s="15">
        <v>157.65</v>
      </c>
      <c r="G9" s="15">
        <v>150</v>
      </c>
    </row>
    <row r="10" spans="1:7">
      <c r="A10" s="48" t="s">
        <v>548</v>
      </c>
      <c r="B10" s="8" t="s">
        <v>341</v>
      </c>
      <c r="C10" s="44">
        <v>850</v>
      </c>
      <c r="D10" s="8">
        <v>183.66</v>
      </c>
      <c r="E10" s="15">
        <v>1800</v>
      </c>
      <c r="F10" s="15">
        <v>609.99</v>
      </c>
      <c r="G10" s="15">
        <v>1070</v>
      </c>
    </row>
    <row r="11" spans="1:7">
      <c r="A11" s="48" t="s">
        <v>549</v>
      </c>
      <c r="B11" s="8" t="s">
        <v>77</v>
      </c>
      <c r="C11" s="44">
        <v>50</v>
      </c>
      <c r="E11" s="15">
        <v>50</v>
      </c>
      <c r="F11" s="15">
        <v>10.83</v>
      </c>
      <c r="G11" s="15">
        <v>50</v>
      </c>
    </row>
    <row r="12" spans="1:7">
      <c r="A12" s="48" t="s">
        <v>550</v>
      </c>
      <c r="B12" s="8" t="s">
        <v>81</v>
      </c>
      <c r="C12" s="44">
        <v>200</v>
      </c>
      <c r="D12" s="8">
        <v>35.21</v>
      </c>
      <c r="E12" s="15">
        <v>200</v>
      </c>
      <c r="F12" s="15">
        <v>174.57</v>
      </c>
      <c r="G12" s="15">
        <v>200</v>
      </c>
    </row>
    <row r="13" spans="1:7">
      <c r="A13" s="48" t="s">
        <v>551</v>
      </c>
      <c r="B13" s="8" t="s">
        <v>552</v>
      </c>
      <c r="C13" s="44"/>
      <c r="E13" s="15">
        <v>300</v>
      </c>
      <c r="F13" s="15"/>
      <c r="G13" s="15">
        <v>150</v>
      </c>
    </row>
    <row r="14" spans="1:7">
      <c r="A14" s="48" t="s">
        <v>553</v>
      </c>
      <c r="B14" s="8" t="s">
        <v>89</v>
      </c>
      <c r="C14" s="44"/>
      <c r="E14" s="15">
        <v>800</v>
      </c>
      <c r="F14" s="15">
        <v>2669.42</v>
      </c>
      <c r="G14" s="15">
        <v>500</v>
      </c>
    </row>
    <row r="15" spans="1:7">
      <c r="A15" s="48" t="s">
        <v>553</v>
      </c>
      <c r="B15" s="8" t="s">
        <v>228</v>
      </c>
      <c r="C15" s="44">
        <v>2500</v>
      </c>
      <c r="D15" s="8">
        <v>1931.69</v>
      </c>
      <c r="E15" s="15">
        <v>3000</v>
      </c>
      <c r="F15" s="15">
        <v>796.85</v>
      </c>
      <c r="G15" s="15">
        <v>2000</v>
      </c>
    </row>
    <row r="16" spans="1:7">
      <c r="A16" s="48" t="s">
        <v>553</v>
      </c>
      <c r="B16" s="8" t="s">
        <v>435</v>
      </c>
      <c r="C16" s="44"/>
      <c r="E16" s="15"/>
      <c r="F16" s="15"/>
      <c r="G16" s="15">
        <v>600</v>
      </c>
    </row>
    <row r="17" spans="1:7">
      <c r="B17" s="8" t="s">
        <v>13</v>
      </c>
      <c r="C17" s="16">
        <f>SUBTOTAL(109,WarriorTribeExpenses[Budget 16/17])</f>
        <v>3750</v>
      </c>
      <c r="D17" s="16">
        <f>SUBTOTAL(109,WarriorTribeExpenses[Actual 6/17])</f>
        <v>2259.86</v>
      </c>
      <c r="E17" s="16">
        <f>SUBTOTAL(109,WarriorTribeExpenses[Budget 17/18])</f>
        <v>6300</v>
      </c>
      <c r="F17" s="1">
        <f>SUBTOTAL(109,WarriorTribeExpenses[Actual 17/18])</f>
        <v>4419.3100000000004</v>
      </c>
      <c r="G17" s="1">
        <f>SUBTOTAL(109,WarriorTribeExpenses[Budget 18/19])</f>
        <v>4720</v>
      </c>
    </row>
    <row r="18" spans="1:7" ht="13.5" thickBot="1">
      <c r="E18" s="16"/>
    </row>
    <row r="19" spans="1:7" ht="19.5" thickBot="1">
      <c r="B19" s="452" t="s">
        <v>102</v>
      </c>
      <c r="C19" s="66">
        <f>WarriorTribeRevenues[[#Totals],[Budget 16/17]]-WarriorTribeExpenses[[#Totals],[Budget 16/17]]</f>
        <v>-3750</v>
      </c>
      <c r="D19" s="66">
        <f>WarriorTribeRevenues[[#Totals],[Actual 16/17]]-WarriorTribeExpenses[[#Totals],[Actual 6/17]]</f>
        <v>-2259.86</v>
      </c>
      <c r="E19" s="66">
        <f>WarriorTribeRevenues[[#Totals],[Budget 17/18]]-WarriorTribeExpenses[[#Totals],[Budget 17/18]]</f>
        <v>-6300</v>
      </c>
      <c r="F19" s="66">
        <f>WarriorTribeRevenues[[#Totals],[Actual 17/18]]-WarriorTribeExpenses[[#Totals],[Actual 17/18]]</f>
        <v>-4259.3100000000004</v>
      </c>
      <c r="G19" s="66">
        <f>WarriorTribeRevenues[[#Totals],[Budget 18/19]]-WarriorTribeExpenses[[#Totals],[Budget 18/19]]</f>
        <v>-4570</v>
      </c>
    </row>
    <row r="20" spans="1:7">
      <c r="C20" s="44"/>
      <c r="D20" s="44"/>
      <c r="E20" s="78"/>
    </row>
    <row r="21" spans="1:7">
      <c r="C21" s="44"/>
      <c r="D21" s="44"/>
      <c r="E21" s="79"/>
    </row>
    <row r="22" spans="1:7">
      <c r="C22" s="44"/>
      <c r="D22" s="44"/>
      <c r="E22" s="78"/>
    </row>
    <row r="23" spans="1:7">
      <c r="C23" s="44"/>
      <c r="D23" s="44"/>
      <c r="E23" s="78"/>
    </row>
    <row r="24" spans="1:7">
      <c r="C24" s="44"/>
      <c r="D24" s="44"/>
      <c r="E24" s="78"/>
    </row>
    <row r="25" spans="1:7">
      <c r="C25" s="44"/>
      <c r="D25" s="44"/>
      <c r="E25" s="78"/>
    </row>
    <row r="26" spans="1:7">
      <c r="C26" s="44"/>
      <c r="D26" s="44"/>
      <c r="E26" s="78"/>
    </row>
    <row r="27" spans="1:7">
      <c r="C27" s="44"/>
      <c r="D27" s="44"/>
      <c r="E27" s="78"/>
    </row>
    <row r="28" spans="1:7">
      <c r="C28" s="16"/>
      <c r="D28" s="16"/>
      <c r="E28" s="16"/>
    </row>
    <row r="30" spans="1:7">
      <c r="A30" s="540"/>
      <c r="B30" s="540"/>
      <c r="C30" s="20"/>
      <c r="D30" s="20"/>
      <c r="E30" s="20"/>
    </row>
  </sheetData>
  <mergeCells count="2">
    <mergeCell ref="A1:B1"/>
    <mergeCell ref="A30:B30"/>
  </mergeCells>
  <pageMargins left="0.7" right="0.7" top="0.75" bottom="0.75" header="0.3" footer="0.3"/>
  <pageSetup orientation="portrait" r:id="rId1"/>
  <legacyDrawing r:id="rId2"/>
  <tableParts count="2">
    <tablePart r:id="rId3"/>
    <tablePart r:id="rId4"/>
  </tablePar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tabColor theme="1"/>
  </sheetPr>
  <dimension ref="A1:J29"/>
  <sheetViews>
    <sheetView zoomScaleNormal="100" workbookViewId="0">
      <selection activeCell="H21" sqref="H21"/>
    </sheetView>
  </sheetViews>
  <sheetFormatPr defaultRowHeight="12.75"/>
  <cols>
    <col min="1" max="1" width="15.28515625" style="8" bestFit="1" customWidth="1"/>
    <col min="2" max="2" width="25" style="8" customWidth="1"/>
    <col min="3" max="3" width="15.42578125" style="8" hidden="1" customWidth="1"/>
    <col min="4" max="4" width="16" style="8" hidden="1" customWidth="1"/>
    <col min="5" max="5" width="15.5703125" style="8" bestFit="1" customWidth="1"/>
    <col min="6" max="6" width="14.28515625" style="8" customWidth="1"/>
    <col min="7" max="7" width="15.5703125" style="8" customWidth="1"/>
    <col min="8" max="8" width="15.42578125" style="8" bestFit="1" customWidth="1"/>
    <col min="9" max="9" width="14.5703125" style="8" bestFit="1" customWidth="1"/>
    <col min="10" max="16384" width="9.140625" style="8"/>
  </cols>
  <sheetData>
    <row r="1" spans="1:10" ht="18">
      <c r="A1" s="534" t="s">
        <v>554</v>
      </c>
      <c r="B1" s="546"/>
    </row>
    <row r="2" spans="1:10">
      <c r="A2" s="28" t="s">
        <v>186</v>
      </c>
    </row>
    <row r="4" spans="1:10">
      <c r="A4" s="48" t="s">
        <v>107</v>
      </c>
      <c r="B4" s="8" t="s">
        <v>47</v>
      </c>
      <c r="C4" s="8" t="s">
        <v>31</v>
      </c>
      <c r="D4" s="8" t="s">
        <v>32</v>
      </c>
      <c r="E4" s="8" t="s">
        <v>33</v>
      </c>
      <c r="F4" s="8" t="s">
        <v>34</v>
      </c>
      <c r="G4" s="8" t="s">
        <v>6</v>
      </c>
      <c r="H4" s="8" t="s">
        <v>8</v>
      </c>
      <c r="I4" s="8" t="s">
        <v>105</v>
      </c>
    </row>
    <row r="5" spans="1:10">
      <c r="A5" s="48"/>
      <c r="B5" s="8" t="s">
        <v>295</v>
      </c>
      <c r="C5" s="16">
        <v>0</v>
      </c>
    </row>
    <row r="6" spans="1:10">
      <c r="B6" s="8" t="s">
        <v>13</v>
      </c>
      <c r="C6" s="16">
        <f>SUBTOTAL(109,MatesRevenues[Budget 16/17])</f>
        <v>0</v>
      </c>
      <c r="D6" s="16">
        <f>SUBTOTAL(109,MatesRevenues[Actual 16/17])</f>
        <v>0</v>
      </c>
      <c r="E6" s="16">
        <f>SUBTOTAL(109,MatesRevenues[Budget 17/18])</f>
        <v>0</v>
      </c>
      <c r="F6" s="8">
        <f>SUBTOTAL(109,MatesRevenues[Revenues])</f>
        <v>0</v>
      </c>
      <c r="G6" s="8">
        <f>SUBTOTAL(109,MatesRevenues[Budget 16/17])</f>
        <v>0</v>
      </c>
      <c r="H6" s="8">
        <f>SUBTOTAL(109,MatesRevenues[Actual 16/17])</f>
        <v>0</v>
      </c>
      <c r="I6" s="8">
        <f>SUBTOTAL(109,MatesRevenues[Budget 17/18])</f>
        <v>0</v>
      </c>
    </row>
    <row r="7" spans="1:10">
      <c r="C7" s="44"/>
      <c r="D7" s="44"/>
      <c r="E7" s="44"/>
    </row>
    <row r="8" spans="1:10">
      <c r="A8" s="75" t="s">
        <v>107</v>
      </c>
      <c r="B8" s="8" t="s">
        <v>61</v>
      </c>
      <c r="C8" s="8" t="s">
        <v>31</v>
      </c>
      <c r="D8" s="44" t="s">
        <v>32</v>
      </c>
      <c r="E8" s="44" t="s">
        <v>33</v>
      </c>
      <c r="F8" s="44" t="s">
        <v>34</v>
      </c>
      <c r="G8" s="44" t="s">
        <v>6</v>
      </c>
      <c r="H8" s="44" t="s">
        <v>8</v>
      </c>
      <c r="I8" s="44" t="s">
        <v>105</v>
      </c>
    </row>
    <row r="9" spans="1:10">
      <c r="A9" s="48" t="s">
        <v>555</v>
      </c>
      <c r="B9" s="8" t="s">
        <v>226</v>
      </c>
      <c r="C9" s="44">
        <v>0</v>
      </c>
      <c r="H9" s="15"/>
      <c r="I9" s="15"/>
    </row>
    <row r="10" spans="1:10">
      <c r="A10" s="48" t="s">
        <v>556</v>
      </c>
      <c r="B10" s="8" t="s">
        <v>341</v>
      </c>
      <c r="C10" s="44">
        <v>800</v>
      </c>
      <c r="D10" s="15">
        <v>1560</v>
      </c>
      <c r="E10" s="15">
        <v>2400</v>
      </c>
      <c r="F10" s="15">
        <v>3140.88</v>
      </c>
      <c r="G10" s="15">
        <v>3130</v>
      </c>
      <c r="H10" s="15">
        <v>3120</v>
      </c>
      <c r="I10" s="15"/>
    </row>
    <row r="11" spans="1:10">
      <c r="A11" s="48" t="s">
        <v>557</v>
      </c>
      <c r="B11" s="8" t="s">
        <v>77</v>
      </c>
      <c r="C11" s="44">
        <v>0</v>
      </c>
      <c r="D11" s="15"/>
      <c r="E11" s="15"/>
      <c r="F11" s="15"/>
      <c r="G11" s="15"/>
      <c r="H11" s="15"/>
      <c r="I11" s="15"/>
    </row>
    <row r="12" spans="1:10">
      <c r="A12" s="48" t="s">
        <v>558</v>
      </c>
      <c r="B12" s="8" t="s">
        <v>70</v>
      </c>
      <c r="C12" s="44"/>
      <c r="D12" s="15"/>
      <c r="E12" s="15"/>
      <c r="F12" s="15"/>
      <c r="G12" s="15"/>
      <c r="H12" s="15">
        <v>350</v>
      </c>
      <c r="I12" s="15"/>
    </row>
    <row r="13" spans="1:10">
      <c r="A13" s="48" t="s">
        <v>559</v>
      </c>
      <c r="B13" s="8" t="s">
        <v>81</v>
      </c>
      <c r="C13" s="44">
        <v>150</v>
      </c>
      <c r="D13" s="15">
        <v>204.3</v>
      </c>
      <c r="E13" s="15">
        <v>150</v>
      </c>
      <c r="F13" s="15">
        <v>94.79</v>
      </c>
      <c r="G13" s="15">
        <v>150</v>
      </c>
      <c r="H13" s="15">
        <v>150</v>
      </c>
      <c r="I13" s="15"/>
    </row>
    <row r="14" spans="1:10">
      <c r="A14" s="48" t="s">
        <v>560</v>
      </c>
      <c r="B14" s="8" t="s">
        <v>260</v>
      </c>
      <c r="C14" s="44"/>
      <c r="D14" s="15"/>
      <c r="E14" s="15">
        <v>600</v>
      </c>
      <c r="F14" s="15">
        <v>723.99</v>
      </c>
      <c r="G14" s="15">
        <v>600</v>
      </c>
      <c r="H14" s="15">
        <v>900</v>
      </c>
      <c r="I14" s="15"/>
      <c r="J14" s="8" t="s">
        <v>561</v>
      </c>
    </row>
    <row r="15" spans="1:10">
      <c r="A15" s="48" t="s">
        <v>562</v>
      </c>
      <c r="B15" s="8" t="s">
        <v>563</v>
      </c>
      <c r="C15" s="44">
        <v>1500</v>
      </c>
      <c r="D15" s="15">
        <v>1679.62</v>
      </c>
      <c r="E15" s="15">
        <v>1500</v>
      </c>
      <c r="F15" s="15">
        <v>1273.33</v>
      </c>
      <c r="G15" s="15">
        <v>1000</v>
      </c>
      <c r="H15" s="15">
        <v>2000</v>
      </c>
      <c r="I15" s="15"/>
    </row>
    <row r="16" spans="1:10">
      <c r="B16" s="8" t="s">
        <v>13</v>
      </c>
      <c r="C16" s="16">
        <f>SUBTOTAL(109,MatesExpenses[Budget 16/17])</f>
        <v>2450</v>
      </c>
      <c r="D16" s="16">
        <f>SUBTOTAL(109,MatesExpenses[Actual 16/17])</f>
        <v>3443.92</v>
      </c>
      <c r="E16" s="16">
        <f>SUBTOTAL(109,MatesExpenses[Budget 17/18])</f>
        <v>4650</v>
      </c>
      <c r="F16" s="1">
        <f>SUBTOTAL(109,MatesExpenses[Actual 17/18])</f>
        <v>5232.99</v>
      </c>
      <c r="G16" s="1">
        <f>SUBTOTAL(109,MatesExpenses[Budget 18/19])</f>
        <v>4880</v>
      </c>
      <c r="H16" s="1">
        <f>SUBTOTAL(109,MatesExpenses[Budget 19/20])</f>
        <v>6520</v>
      </c>
      <c r="I16" s="1"/>
    </row>
    <row r="17" spans="1:9" ht="13.5" thickBot="1">
      <c r="E17" s="16"/>
    </row>
    <row r="18" spans="1:9" ht="19.5" thickBot="1">
      <c r="B18" s="452" t="s">
        <v>102</v>
      </c>
      <c r="C18" s="66">
        <f>MatesRevenues[[#Totals],[Budget 16/17]]-MatesExpenses[[#Totals],[Budget 16/17]]</f>
        <v>-2450</v>
      </c>
      <c r="D18" s="66">
        <f>MatesRevenues[[#Totals],[Actual 16/17]]-MatesExpenses[[#Totals],[Actual 16/17]]</f>
        <v>-3443.92</v>
      </c>
      <c r="E18" s="360">
        <f>MatesRevenues[[#Totals],[Budget 17/18]]-MatesExpenses[[#Totals],[Budget 17/18]]</f>
        <v>-4650</v>
      </c>
      <c r="F18" s="360">
        <f>MatesRevenues[[#Totals],[Actual 17/18]]-MatesExpenses[[#Totals],[Actual 17/18]]</f>
        <v>-5232.99</v>
      </c>
      <c r="G18" s="360">
        <f>MatesRevenues[[#Totals],[Budget 18/19]]-MatesExpenses[[#Totals],[Budget 18/19]]</f>
        <v>-4880</v>
      </c>
      <c r="H18" s="360">
        <f>MatesRevenues[[#Totals],[Budget 19/20]]-MatesExpenses[[#Totals],[Budget 19/20]]</f>
        <v>-6520</v>
      </c>
      <c r="I18" s="66"/>
    </row>
    <row r="19" spans="1:9">
      <c r="C19" s="44"/>
      <c r="D19" s="44"/>
      <c r="E19" s="78"/>
    </row>
    <row r="20" spans="1:9">
      <c r="C20" s="44"/>
      <c r="D20" s="44"/>
      <c r="E20" s="79"/>
    </row>
    <row r="21" spans="1:9">
      <c r="C21" s="44"/>
      <c r="D21" s="44"/>
      <c r="E21" s="78"/>
    </row>
    <row r="22" spans="1:9">
      <c r="C22" s="44"/>
      <c r="D22" s="44"/>
      <c r="E22" s="78"/>
    </row>
    <row r="23" spans="1:9">
      <c r="C23" s="44"/>
      <c r="D23" s="44"/>
      <c r="E23" s="78"/>
    </row>
    <row r="24" spans="1:9">
      <c r="C24" s="44"/>
      <c r="D24" s="44"/>
      <c r="E24" s="78"/>
    </row>
    <row r="25" spans="1:9">
      <c r="C25" s="44"/>
      <c r="D25" s="44"/>
      <c r="E25" s="78"/>
    </row>
    <row r="26" spans="1:9">
      <c r="C26" s="44"/>
      <c r="D26" s="44"/>
      <c r="E26" s="78"/>
    </row>
    <row r="27" spans="1:9">
      <c r="C27" s="16"/>
      <c r="D27" s="16"/>
      <c r="E27" s="16"/>
    </row>
    <row r="29" spans="1:9">
      <c r="A29" s="540"/>
      <c r="B29" s="540"/>
      <c r="C29" s="20"/>
      <c r="D29" s="20"/>
      <c r="E29" s="20"/>
    </row>
  </sheetData>
  <mergeCells count="2">
    <mergeCell ref="A1:B1"/>
    <mergeCell ref="A29:B29"/>
  </mergeCells>
  <pageMargins left="0.7" right="0.7" top="0.75" bottom="0.75" header="0.3" footer="0.3"/>
  <pageSetup orientation="portrait" r:id="rId1"/>
  <legacyDrawing r:id="rId2"/>
  <tableParts count="2">
    <tablePart r:id="rId3"/>
    <tablePart r:id="rId4"/>
  </tablePar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1"/>
  </sheetPr>
  <dimension ref="A1:I23"/>
  <sheetViews>
    <sheetView zoomScaleNormal="100" workbookViewId="0">
      <selection activeCell="E18" sqref="E18"/>
    </sheetView>
  </sheetViews>
  <sheetFormatPr defaultRowHeight="12.75"/>
  <cols>
    <col min="2" max="2" width="22.42578125" bestFit="1" customWidth="1"/>
    <col min="3" max="3" width="15.42578125" bestFit="1" customWidth="1"/>
    <col min="4" max="4" width="14.5703125" hidden="1" customWidth="1"/>
    <col min="5" max="5" width="16" bestFit="1" customWidth="1"/>
    <col min="6" max="7" width="14.5703125" customWidth="1"/>
    <col min="8" max="8" width="14.5703125" bestFit="1" customWidth="1"/>
  </cols>
  <sheetData>
    <row r="1" spans="1:9" ht="18">
      <c r="A1" s="534" t="s">
        <v>183</v>
      </c>
      <c r="B1" s="546"/>
      <c r="C1" s="8"/>
      <c r="D1" s="8"/>
      <c r="E1" s="8"/>
      <c r="F1" s="8"/>
      <c r="G1" s="8"/>
    </row>
    <row r="2" spans="1:9">
      <c r="A2" s="28" t="s">
        <v>186</v>
      </c>
      <c r="B2" s="8"/>
      <c r="C2" s="8"/>
      <c r="D2" s="8"/>
      <c r="E2" s="8"/>
      <c r="F2" s="8"/>
      <c r="G2" s="8"/>
    </row>
    <row r="3" spans="1:9">
      <c r="A3" s="8"/>
      <c r="B3" s="8"/>
      <c r="C3" s="8"/>
      <c r="D3" s="8"/>
      <c r="E3" s="8"/>
      <c r="F3" s="8"/>
      <c r="G3" s="8"/>
    </row>
    <row r="4" spans="1:9">
      <c r="A4" s="48" t="s">
        <v>107</v>
      </c>
      <c r="B4" s="8" t="s">
        <v>47</v>
      </c>
      <c r="C4" s="8" t="s">
        <v>6</v>
      </c>
      <c r="D4" s="8" t="s">
        <v>7</v>
      </c>
      <c r="E4" s="8" t="s">
        <v>8</v>
      </c>
      <c r="F4" s="8" t="s">
        <v>105</v>
      </c>
      <c r="G4" s="8" t="s">
        <v>564</v>
      </c>
      <c r="H4" s="8" t="s">
        <v>565</v>
      </c>
      <c r="I4" t="s">
        <v>566</v>
      </c>
    </row>
    <row r="5" spans="1:9">
      <c r="A5" s="48"/>
      <c r="B5" s="8" t="s">
        <v>295</v>
      </c>
      <c r="C5" s="16">
        <v>0</v>
      </c>
      <c r="D5" s="8"/>
      <c r="E5" s="15"/>
      <c r="F5" s="8"/>
      <c r="G5" s="8"/>
      <c r="H5" s="8"/>
      <c r="I5" s="222"/>
    </row>
    <row r="6" spans="1:9">
      <c r="A6" s="8"/>
      <c r="B6" s="222" t="s">
        <v>513</v>
      </c>
      <c r="C6" s="362"/>
      <c r="D6" s="222"/>
      <c r="E6" s="362">
        <v>3000</v>
      </c>
      <c r="F6" s="222"/>
      <c r="G6" s="222"/>
      <c r="H6" s="222"/>
      <c r="I6" s="222"/>
    </row>
    <row r="7" spans="1:9">
      <c r="A7" s="8"/>
      <c r="B7" s="222" t="s">
        <v>13</v>
      </c>
      <c r="C7" s="313">
        <f>SUBTOTAL(109,MatesRevenues3[Budget 18/19])</f>
        <v>0</v>
      </c>
      <c r="D7" s="313">
        <f>SUBTOTAL(109,MatesRevenues3[Actual 18/19])</f>
        <v>0</v>
      </c>
      <c r="E7" s="313">
        <f>SUBTOTAL(109,MatesRevenues3[Budget 19/20])</f>
        <v>3000</v>
      </c>
      <c r="F7" s="313"/>
      <c r="G7" s="313"/>
      <c r="H7" s="222"/>
      <c r="I7" s="222"/>
    </row>
    <row r="8" spans="1:9">
      <c r="A8" s="75" t="s">
        <v>107</v>
      </c>
      <c r="B8" s="8"/>
      <c r="C8" s="44"/>
      <c r="D8" s="44"/>
      <c r="E8" s="44"/>
      <c r="F8" s="8"/>
      <c r="G8" s="8"/>
    </row>
    <row r="9" spans="1:9">
      <c r="A9" s="48"/>
      <c r="B9" s="8" t="s">
        <v>61</v>
      </c>
      <c r="C9" s="8" t="s">
        <v>6</v>
      </c>
      <c r="D9" s="44" t="s">
        <v>7</v>
      </c>
      <c r="E9" s="44" t="s">
        <v>8</v>
      </c>
      <c r="F9" s="8" t="s">
        <v>105</v>
      </c>
      <c r="G9" s="8" t="s">
        <v>564</v>
      </c>
      <c r="H9" s="8" t="s">
        <v>565</v>
      </c>
      <c r="I9" s="224" t="s">
        <v>566</v>
      </c>
    </row>
    <row r="10" spans="1:9">
      <c r="A10" s="48"/>
      <c r="B10" s="8" t="s">
        <v>226</v>
      </c>
      <c r="C10" s="44">
        <v>300</v>
      </c>
      <c r="D10" s="8"/>
      <c r="E10" s="15">
        <v>225</v>
      </c>
      <c r="F10" s="8"/>
      <c r="G10" s="8"/>
      <c r="H10" s="15"/>
      <c r="I10" s="321"/>
    </row>
    <row r="11" spans="1:9">
      <c r="A11" s="48"/>
      <c r="B11" s="8" t="s">
        <v>341</v>
      </c>
      <c r="C11" s="44">
        <v>1160</v>
      </c>
      <c r="D11" s="15"/>
      <c r="E11" s="15">
        <v>2010</v>
      </c>
      <c r="F11" s="15"/>
      <c r="G11" s="15"/>
      <c r="H11" s="15"/>
      <c r="I11" s="321"/>
    </row>
    <row r="12" spans="1:9">
      <c r="A12" s="48"/>
      <c r="B12" s="8" t="s">
        <v>77</v>
      </c>
      <c r="C12" s="44">
        <v>40</v>
      </c>
      <c r="D12" s="15"/>
      <c r="E12" s="15">
        <v>40</v>
      </c>
      <c r="F12" s="15"/>
      <c r="G12" s="15"/>
      <c r="H12" s="15"/>
      <c r="I12" s="321"/>
    </row>
    <row r="13" spans="1:9">
      <c r="A13" s="48"/>
      <c r="B13" s="8" t="s">
        <v>81</v>
      </c>
      <c r="C13" s="44">
        <v>300</v>
      </c>
      <c r="D13" s="15"/>
      <c r="E13" s="15">
        <v>700</v>
      </c>
      <c r="F13" s="15"/>
      <c r="G13" s="15"/>
      <c r="H13" s="15"/>
      <c r="I13" s="321"/>
    </row>
    <row r="14" spans="1:9">
      <c r="A14" s="48"/>
      <c r="B14" s="8" t="s">
        <v>567</v>
      </c>
      <c r="C14" s="44"/>
      <c r="D14" s="15"/>
      <c r="E14" s="15">
        <v>2800</v>
      </c>
      <c r="F14" s="15"/>
      <c r="G14" s="15"/>
      <c r="H14" s="15"/>
      <c r="I14" s="321"/>
    </row>
    <row r="15" spans="1:9">
      <c r="A15" s="48"/>
      <c r="B15" s="8" t="s">
        <v>260</v>
      </c>
      <c r="C15" s="44">
        <v>400</v>
      </c>
      <c r="D15" s="15"/>
      <c r="E15" s="15">
        <v>400</v>
      </c>
      <c r="F15" s="15"/>
      <c r="G15" s="15"/>
      <c r="H15" s="15"/>
      <c r="I15" s="321"/>
    </row>
    <row r="16" spans="1:9">
      <c r="A16" s="48"/>
      <c r="B16" s="8" t="s">
        <v>89</v>
      </c>
      <c r="C16" s="44">
        <v>1600</v>
      </c>
      <c r="D16" s="15"/>
      <c r="E16" s="15">
        <v>1500</v>
      </c>
      <c r="F16" s="15"/>
      <c r="G16" s="15"/>
      <c r="H16" s="15"/>
      <c r="I16" s="321"/>
    </row>
    <row r="17" spans="1:9">
      <c r="A17" s="48"/>
      <c r="B17" s="8" t="s">
        <v>228</v>
      </c>
      <c r="C17" s="44">
        <v>3400</v>
      </c>
      <c r="D17" s="15"/>
      <c r="E17" s="15">
        <v>2000</v>
      </c>
      <c r="F17" s="15"/>
      <c r="G17" s="15"/>
      <c r="H17" s="15"/>
      <c r="I17" s="321"/>
    </row>
    <row r="18" spans="1:9">
      <c r="A18" s="8"/>
      <c r="B18" s="8" t="s">
        <v>568</v>
      </c>
      <c r="C18" s="44"/>
      <c r="D18" s="15"/>
      <c r="E18" s="15">
        <v>880</v>
      </c>
      <c r="F18" s="15"/>
      <c r="G18" s="15"/>
      <c r="H18" s="15"/>
      <c r="I18" s="321"/>
    </row>
    <row r="19" spans="1:9">
      <c r="A19" s="8"/>
      <c r="B19" s="222" t="s">
        <v>13</v>
      </c>
      <c r="C19" s="313">
        <f>SUBTOTAL(109,MatesExpenses5[Budget 18/19])</f>
        <v>7200</v>
      </c>
      <c r="D19" s="313">
        <f>SUBTOTAL(109,MatesExpenses5[Actual 18/19])</f>
        <v>0</v>
      </c>
      <c r="E19" s="313">
        <f>SUBTOTAL(109,MatesExpenses5[Budget 19/20])</f>
        <v>10555</v>
      </c>
      <c r="F19" s="313"/>
      <c r="G19" s="313"/>
      <c r="H19" s="315"/>
      <c r="I19" s="222"/>
    </row>
    <row r="20" spans="1:9" ht="13.5" thickBot="1">
      <c r="A20" s="8"/>
      <c r="B20" s="8"/>
      <c r="C20" s="8"/>
      <c r="D20" s="8"/>
      <c r="E20" s="16"/>
      <c r="F20" s="8"/>
      <c r="G20" s="8"/>
    </row>
    <row r="21" spans="1:9" ht="19.5" thickBot="1">
      <c r="B21" s="452" t="s">
        <v>102</v>
      </c>
      <c r="C21" s="360">
        <f>MatesRevenues3[[#Totals],[Budget 18/19]]-MatesExpenses5[[#Totals],[Budget 18/19]]</f>
        <v>-7200</v>
      </c>
      <c r="D21" s="66">
        <f>MatesRevenues3[[#Totals],[Actual 18/19]]-MatesExpenses5[[#Totals],[Actual 18/19]]</f>
        <v>0</v>
      </c>
      <c r="E21" s="360">
        <f>MatesRevenues3[[#Totals],[Budget 19/20]]-MatesExpenses5[[#Totals],[Budget 19/20]]</f>
        <v>-7555</v>
      </c>
      <c r="F21" s="66"/>
      <c r="G21" s="66"/>
      <c r="H21" s="66"/>
      <c r="I21" s="66"/>
    </row>
    <row r="23" spans="1:9">
      <c r="C23" s="5"/>
      <c r="E23" s="323"/>
    </row>
  </sheetData>
  <mergeCells count="1">
    <mergeCell ref="A1:B1"/>
  </mergeCells>
  <pageMargins left="0.7" right="0.7" top="0.75" bottom="0.75" header="0.3" footer="0.3"/>
  <legacyDrawing r:id="rId1"/>
  <tableParts count="2">
    <tablePart r:id="rId2"/>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theme="1"/>
    <pageSetUpPr fitToPage="1"/>
  </sheetPr>
  <dimension ref="A1:AT110"/>
  <sheetViews>
    <sheetView showGridLines="0" topLeftCell="A4" zoomScaleNormal="100" workbookViewId="0">
      <selection activeCell="W37" sqref="W37"/>
    </sheetView>
  </sheetViews>
  <sheetFormatPr defaultColWidth="11.42578125" defaultRowHeight="12.75"/>
  <cols>
    <col min="1" max="1" width="14.42578125" style="12" customWidth="1"/>
    <col min="2" max="2" width="36.42578125" style="12" customWidth="1"/>
    <col min="3" max="3" width="15.5703125" style="12" hidden="1" customWidth="1"/>
    <col min="4" max="4" width="15" style="12" hidden="1" customWidth="1"/>
    <col min="5" max="5" width="15.5703125" style="12" hidden="1" customWidth="1"/>
    <col min="6" max="6" width="15" style="12" hidden="1" customWidth="1"/>
    <col min="7" max="7" width="15.5703125" style="12" hidden="1" customWidth="1"/>
    <col min="8" max="8" width="15" style="12" hidden="1" customWidth="1"/>
    <col min="9" max="9" width="15.5703125" style="12" hidden="1" customWidth="1"/>
    <col min="10" max="10" width="15" style="12" hidden="1" customWidth="1"/>
    <col min="11" max="11" width="15.5703125" style="12" hidden="1" customWidth="1"/>
    <col min="12" max="12" width="15" style="12" hidden="1" customWidth="1"/>
    <col min="13" max="13" width="15.5703125" style="12" hidden="1" customWidth="1"/>
    <col min="14" max="14" width="13.140625" style="144" hidden="1" customWidth="1"/>
    <col min="15" max="15" width="12.7109375" style="12" hidden="1" customWidth="1"/>
    <col min="16" max="16" width="16.28515625" style="12" hidden="1" customWidth="1"/>
    <col min="17" max="17" width="21.42578125" style="12" customWidth="1"/>
    <col min="18" max="18" width="20" style="12" customWidth="1"/>
    <col min="19" max="19" width="21.28515625" style="12" customWidth="1"/>
    <col min="20" max="20" width="18" style="12" customWidth="1"/>
    <col min="21" max="21" width="11.85546875" style="12" bestFit="1" customWidth="1"/>
    <col min="22" max="22" width="11.42578125" style="12"/>
    <col min="23" max="23" width="16.7109375" style="12" customWidth="1"/>
    <col min="24" max="16384" width="11.42578125" style="12"/>
  </cols>
  <sheetData>
    <row r="1" spans="1:24" s="8" customFormat="1" ht="18">
      <c r="A1" s="534" t="s">
        <v>569</v>
      </c>
      <c r="B1" s="546"/>
      <c r="N1" s="138"/>
    </row>
    <row r="2" spans="1:24" s="8" customFormat="1">
      <c r="A2" s="28" t="s">
        <v>186</v>
      </c>
      <c r="N2" s="138"/>
    </row>
    <row r="3" spans="1:24">
      <c r="A3" s="8"/>
      <c r="B3" s="8"/>
      <c r="C3" s="8"/>
      <c r="D3" s="8"/>
      <c r="E3" s="8"/>
      <c r="F3" s="8"/>
      <c r="G3" s="8"/>
      <c r="H3" s="8"/>
      <c r="I3" s="8"/>
      <c r="J3" s="8"/>
      <c r="K3" s="8"/>
      <c r="L3" s="8"/>
      <c r="M3" s="8"/>
    </row>
    <row r="4" spans="1:24">
      <c r="A4" s="8"/>
      <c r="B4" s="8"/>
      <c r="C4" s="8"/>
      <c r="D4" s="8"/>
      <c r="E4" s="8"/>
      <c r="F4" s="8"/>
      <c r="G4" s="8"/>
      <c r="H4" s="8"/>
      <c r="I4" s="8"/>
      <c r="J4" s="8"/>
      <c r="K4" s="8"/>
      <c r="L4" s="8"/>
      <c r="M4" s="8"/>
    </row>
    <row r="5" spans="1:24">
      <c r="A5" s="48" t="s">
        <v>107</v>
      </c>
      <c r="B5" s="8" t="s">
        <v>47</v>
      </c>
      <c r="C5" s="8" t="s">
        <v>48</v>
      </c>
      <c r="D5" s="8" t="s">
        <v>49</v>
      </c>
      <c r="E5" s="8" t="s">
        <v>50</v>
      </c>
      <c r="F5" s="8" t="s">
        <v>51</v>
      </c>
      <c r="G5" s="8" t="s">
        <v>52</v>
      </c>
      <c r="H5" s="8" t="s">
        <v>53</v>
      </c>
      <c r="I5" s="8" t="s">
        <v>54</v>
      </c>
      <c r="J5" s="8" t="s">
        <v>55</v>
      </c>
      <c r="K5" s="8" t="s">
        <v>56</v>
      </c>
      <c r="L5" s="8" t="s">
        <v>104</v>
      </c>
      <c r="M5" s="8" t="s">
        <v>29</v>
      </c>
      <c r="N5" s="160" t="s">
        <v>30</v>
      </c>
      <c r="O5" s="8" t="s">
        <v>31</v>
      </c>
      <c r="P5" s="8" t="s">
        <v>570</v>
      </c>
      <c r="Q5" s="8" t="s">
        <v>33</v>
      </c>
      <c r="R5" s="8" t="s">
        <v>34</v>
      </c>
      <c r="S5" s="8" t="s">
        <v>6</v>
      </c>
      <c r="T5" s="8" t="s">
        <v>7</v>
      </c>
      <c r="U5" s="8" t="s">
        <v>8</v>
      </c>
      <c r="V5" s="8" t="s">
        <v>35</v>
      </c>
    </row>
    <row r="6" spans="1:24" ht="12.75" customHeight="1">
      <c r="A6" s="48" t="s">
        <v>571</v>
      </c>
      <c r="B6" s="8" t="s">
        <v>572</v>
      </c>
      <c r="C6" s="15">
        <v>0</v>
      </c>
      <c r="D6" s="15">
        <v>1000</v>
      </c>
      <c r="E6" s="15">
        <v>8000</v>
      </c>
      <c r="F6" s="15">
        <v>7782.3</v>
      </c>
      <c r="G6" s="15">
        <v>15000</v>
      </c>
      <c r="H6" s="15">
        <v>15159.34</v>
      </c>
      <c r="I6" s="15">
        <v>15000</v>
      </c>
      <c r="J6" s="15"/>
      <c r="K6" s="15">
        <v>13000</v>
      </c>
      <c r="L6" s="15">
        <f>281.3+56536.71</f>
        <v>56818.01</v>
      </c>
      <c r="M6" s="15">
        <v>30000</v>
      </c>
      <c r="N6" s="167">
        <v>40776.699999999997</v>
      </c>
      <c r="O6" s="15">
        <v>30000</v>
      </c>
      <c r="P6" s="15">
        <v>32789</v>
      </c>
      <c r="Q6" s="190">
        <v>30000</v>
      </c>
      <c r="R6" s="190">
        <v>28462.35</v>
      </c>
      <c r="S6" s="190">
        <v>25000</v>
      </c>
      <c r="T6" s="190"/>
      <c r="U6" s="190">
        <v>5000</v>
      </c>
      <c r="V6" s="190"/>
      <c r="W6" s="104"/>
      <c r="X6" s="104"/>
    </row>
    <row r="7" spans="1:24" ht="12.75" hidden="1" customHeight="1">
      <c r="A7" s="48"/>
      <c r="B7" s="8" t="s">
        <v>573</v>
      </c>
      <c r="C7" s="15">
        <v>2650</v>
      </c>
      <c r="D7" s="15">
        <v>11751.57</v>
      </c>
      <c r="E7" s="15">
        <v>5683.74</v>
      </c>
      <c r="F7" s="15">
        <v>5794.36</v>
      </c>
      <c r="G7" s="15">
        <v>5000</v>
      </c>
      <c r="H7" s="15">
        <v>12294.7</v>
      </c>
      <c r="I7" s="15">
        <v>2500</v>
      </c>
      <c r="J7" s="15">
        <v>13706.31</v>
      </c>
      <c r="K7" s="15">
        <v>5000</v>
      </c>
      <c r="L7" s="15">
        <v>7698.28</v>
      </c>
      <c r="M7" s="15">
        <v>0</v>
      </c>
      <c r="N7" s="167">
        <v>0</v>
      </c>
      <c r="O7" s="15">
        <v>0</v>
      </c>
      <c r="P7" s="15"/>
      <c r="Q7" s="190"/>
      <c r="R7" s="484"/>
      <c r="S7" s="190"/>
      <c r="T7" s="190"/>
      <c r="U7" s="190"/>
      <c r="V7" s="190"/>
      <c r="W7" s="104"/>
      <c r="X7" s="104"/>
    </row>
    <row r="8" spans="1:24" ht="12.75" hidden="1" customHeight="1">
      <c r="A8" s="48"/>
      <c r="B8" s="8" t="s">
        <v>574</v>
      </c>
      <c r="C8" s="15">
        <v>0</v>
      </c>
      <c r="D8" s="15">
        <v>2823.8</v>
      </c>
      <c r="E8" s="15">
        <v>0</v>
      </c>
      <c r="F8" s="15">
        <v>3226.14</v>
      </c>
      <c r="G8" s="15">
        <v>0</v>
      </c>
      <c r="H8" s="15">
        <v>1628.38</v>
      </c>
      <c r="I8" s="15">
        <v>0</v>
      </c>
      <c r="J8" s="15"/>
      <c r="K8" s="15">
        <v>0</v>
      </c>
      <c r="L8" s="15">
        <v>-433.84</v>
      </c>
      <c r="M8" s="15">
        <v>0</v>
      </c>
      <c r="N8" s="167">
        <v>393.06</v>
      </c>
      <c r="O8" s="15">
        <v>0</v>
      </c>
      <c r="P8" s="15"/>
      <c r="Q8" s="190"/>
      <c r="R8" s="484"/>
      <c r="S8" s="190"/>
      <c r="T8" s="190"/>
      <c r="U8" s="190"/>
      <c r="V8" s="190"/>
      <c r="W8" s="104"/>
      <c r="X8" s="104"/>
    </row>
    <row r="9" spans="1:24" hidden="1">
      <c r="A9" s="48"/>
      <c r="B9" s="8" t="s">
        <v>575</v>
      </c>
      <c r="C9" s="15">
        <v>0</v>
      </c>
      <c r="D9" s="15">
        <v>523.54</v>
      </c>
      <c r="E9" s="15">
        <v>0</v>
      </c>
      <c r="F9" s="15">
        <v>3939.58</v>
      </c>
      <c r="G9" s="15">
        <v>0</v>
      </c>
      <c r="H9" s="15">
        <v>182.13</v>
      </c>
      <c r="I9" s="15">
        <v>0</v>
      </c>
      <c r="J9" s="15">
        <v>752.17</v>
      </c>
      <c r="K9" s="15">
        <v>0</v>
      </c>
      <c r="L9" s="15">
        <v>0</v>
      </c>
      <c r="M9" s="15">
        <v>0</v>
      </c>
      <c r="N9" s="167">
        <v>1192.7</v>
      </c>
      <c r="O9" s="15">
        <v>0</v>
      </c>
      <c r="P9" s="15"/>
      <c r="Q9" s="190"/>
      <c r="R9" s="484"/>
      <c r="S9" s="190"/>
      <c r="T9" s="190"/>
      <c r="U9" s="190"/>
      <c r="V9" s="190"/>
      <c r="W9" s="104"/>
      <c r="X9" s="104"/>
    </row>
    <row r="10" spans="1:24" hidden="1">
      <c r="A10" s="48"/>
      <c r="B10" s="8" t="s">
        <v>576</v>
      </c>
      <c r="C10" s="15">
        <v>0</v>
      </c>
      <c r="D10" s="15">
        <v>594.64</v>
      </c>
      <c r="E10" s="15">
        <v>0</v>
      </c>
      <c r="F10" s="15">
        <v>7466.6</v>
      </c>
      <c r="G10" s="15">
        <v>0</v>
      </c>
      <c r="H10" s="15">
        <v>0</v>
      </c>
      <c r="I10" s="15">
        <v>0</v>
      </c>
      <c r="J10" s="15">
        <v>3395.35</v>
      </c>
      <c r="K10" s="15">
        <v>0</v>
      </c>
      <c r="L10" s="15">
        <v>0</v>
      </c>
      <c r="M10" s="15">
        <v>0</v>
      </c>
      <c r="N10" s="167">
        <v>4318.42</v>
      </c>
      <c r="O10" s="15">
        <v>0</v>
      </c>
      <c r="P10" s="15"/>
      <c r="Q10" s="190"/>
      <c r="R10" s="484"/>
      <c r="S10" s="190"/>
      <c r="T10" s="190"/>
      <c r="U10" s="190"/>
      <c r="V10" s="190"/>
      <c r="W10" s="104"/>
      <c r="X10" s="104"/>
    </row>
    <row r="11" spans="1:24" hidden="1">
      <c r="A11" s="48"/>
      <c r="B11" s="8" t="s">
        <v>577</v>
      </c>
      <c r="C11" s="15">
        <v>0</v>
      </c>
      <c r="D11" s="15">
        <v>0</v>
      </c>
      <c r="E11" s="15">
        <v>0</v>
      </c>
      <c r="F11" s="15">
        <v>0</v>
      </c>
      <c r="G11" s="15">
        <v>0</v>
      </c>
      <c r="H11" s="15">
        <v>0</v>
      </c>
      <c r="I11" s="15">
        <v>0</v>
      </c>
      <c r="J11" s="15">
        <v>0</v>
      </c>
      <c r="K11" s="15">
        <v>0</v>
      </c>
      <c r="L11" s="15">
        <v>0</v>
      </c>
      <c r="M11" s="15">
        <v>0</v>
      </c>
      <c r="N11" s="167">
        <v>0</v>
      </c>
      <c r="O11" s="15">
        <v>0</v>
      </c>
      <c r="P11" s="15"/>
      <c r="Q11" s="190"/>
      <c r="R11" s="484"/>
      <c r="S11" s="190"/>
      <c r="T11" s="190"/>
      <c r="U11" s="190"/>
      <c r="V11" s="190"/>
      <c r="W11" s="104"/>
      <c r="X11" s="104"/>
    </row>
    <row r="12" spans="1:24" hidden="1">
      <c r="A12" s="48"/>
      <c r="B12" s="8" t="s">
        <v>578</v>
      </c>
      <c r="C12" s="15">
        <v>0</v>
      </c>
      <c r="D12" s="15">
        <v>0</v>
      </c>
      <c r="E12" s="15">
        <v>0</v>
      </c>
      <c r="F12" s="15">
        <v>0</v>
      </c>
      <c r="G12" s="15">
        <v>0</v>
      </c>
      <c r="H12" s="15">
        <v>0</v>
      </c>
      <c r="I12" s="15">
        <v>0</v>
      </c>
      <c r="J12" s="15">
        <v>0</v>
      </c>
      <c r="K12" s="15">
        <v>0</v>
      </c>
      <c r="L12" s="15">
        <v>0</v>
      </c>
      <c r="M12" s="15">
        <v>0</v>
      </c>
      <c r="N12" s="167">
        <v>0</v>
      </c>
      <c r="O12" s="15">
        <v>0</v>
      </c>
      <c r="P12" s="15"/>
      <c r="Q12" s="190"/>
      <c r="R12" s="484"/>
      <c r="S12" s="190"/>
      <c r="T12" s="190"/>
      <c r="U12" s="190"/>
      <c r="V12" s="190"/>
      <c r="W12" s="104"/>
      <c r="X12" s="104"/>
    </row>
    <row r="13" spans="1:24">
      <c r="A13" s="48"/>
      <c r="B13" s="8" t="s">
        <v>295</v>
      </c>
      <c r="C13" s="20">
        <v>0</v>
      </c>
      <c r="D13" s="20">
        <v>0</v>
      </c>
      <c r="E13" s="20">
        <v>0</v>
      </c>
      <c r="F13" s="20">
        <v>0</v>
      </c>
      <c r="G13" s="20">
        <v>0</v>
      </c>
      <c r="H13" s="20">
        <v>0</v>
      </c>
      <c r="I13" s="20">
        <v>0</v>
      </c>
      <c r="J13" s="20">
        <v>18.29</v>
      </c>
      <c r="K13" s="20">
        <v>0</v>
      </c>
      <c r="L13" s="20">
        <v>1964.12</v>
      </c>
      <c r="M13" s="20">
        <v>0</v>
      </c>
      <c r="N13" s="167">
        <v>2346.09</v>
      </c>
      <c r="O13" s="15">
        <v>0</v>
      </c>
      <c r="P13" s="15"/>
      <c r="Q13" s="190"/>
      <c r="R13" s="484"/>
      <c r="S13" s="190"/>
      <c r="T13" s="190">
        <v>12247.93</v>
      </c>
      <c r="U13" s="190">
        <v>1000</v>
      </c>
      <c r="V13" s="190"/>
      <c r="W13" s="104"/>
      <c r="X13" s="104"/>
    </row>
    <row r="14" spans="1:24">
      <c r="A14" s="48"/>
      <c r="B14" s="8" t="s">
        <v>513</v>
      </c>
      <c r="C14" s="20">
        <v>0</v>
      </c>
      <c r="D14" s="20">
        <v>0</v>
      </c>
      <c r="E14" s="20">
        <v>0</v>
      </c>
      <c r="F14" s="20">
        <v>0</v>
      </c>
      <c r="G14" s="20">
        <v>0</v>
      </c>
      <c r="H14" s="20">
        <v>0</v>
      </c>
      <c r="I14" s="20">
        <v>0</v>
      </c>
      <c r="J14" s="15">
        <v>11592.92</v>
      </c>
      <c r="K14" s="15">
        <v>0</v>
      </c>
      <c r="L14" s="15">
        <v>0</v>
      </c>
      <c r="M14" s="15">
        <f>15000+2458</f>
        <v>17458</v>
      </c>
      <c r="N14" s="167">
        <v>0</v>
      </c>
      <c r="O14" s="15">
        <v>0</v>
      </c>
      <c r="P14" s="15"/>
      <c r="Q14" s="15"/>
      <c r="R14" s="201"/>
      <c r="S14" s="15"/>
      <c r="T14" s="15">
        <v>8000</v>
      </c>
      <c r="U14" s="15">
        <v>15000</v>
      </c>
      <c r="V14" s="15"/>
    </row>
    <row r="15" spans="1:24">
      <c r="A15" s="48"/>
      <c r="B15" s="8" t="s">
        <v>579</v>
      </c>
      <c r="C15" s="15">
        <v>0</v>
      </c>
      <c r="D15" s="15">
        <v>0</v>
      </c>
      <c r="E15" s="15">
        <v>0</v>
      </c>
      <c r="F15" s="15">
        <v>0</v>
      </c>
      <c r="G15" s="15">
        <v>0</v>
      </c>
      <c r="H15" s="15">
        <v>4372.3</v>
      </c>
      <c r="I15" s="15">
        <v>0</v>
      </c>
      <c r="J15" s="15"/>
      <c r="K15" s="15">
        <v>0</v>
      </c>
      <c r="L15" s="15">
        <v>4088.49</v>
      </c>
      <c r="M15" s="15">
        <v>0</v>
      </c>
      <c r="N15" s="167">
        <v>2158.42</v>
      </c>
      <c r="O15" s="15">
        <v>0</v>
      </c>
      <c r="P15" s="15"/>
      <c r="Q15" s="15"/>
      <c r="R15" s="201"/>
      <c r="S15" s="15"/>
      <c r="T15" s="15"/>
      <c r="U15" s="15"/>
      <c r="V15" s="15"/>
    </row>
    <row r="16" spans="1:24">
      <c r="A16" s="48"/>
      <c r="B16" s="8" t="s">
        <v>580</v>
      </c>
      <c r="C16" s="15"/>
      <c r="D16" s="15"/>
      <c r="E16" s="15"/>
      <c r="F16" s="15"/>
      <c r="G16" s="15"/>
      <c r="H16" s="15"/>
      <c r="I16" s="15"/>
      <c r="J16" s="15"/>
      <c r="K16" s="15"/>
      <c r="L16" s="15"/>
      <c r="M16" s="15"/>
      <c r="N16" s="167">
        <v>1340.71</v>
      </c>
      <c r="O16" s="15"/>
      <c r="P16" s="15"/>
      <c r="Q16" s="15"/>
      <c r="R16" s="201"/>
      <c r="S16" s="15"/>
      <c r="T16" s="15"/>
      <c r="U16" s="15"/>
      <c r="V16" s="15"/>
    </row>
    <row r="17" spans="1:46">
      <c r="A17" s="48"/>
      <c r="B17" s="117" t="s">
        <v>581</v>
      </c>
      <c r="C17" s="389"/>
      <c r="D17" s="389"/>
      <c r="E17" s="389"/>
      <c r="F17" s="389"/>
      <c r="G17" s="389"/>
      <c r="H17" s="389"/>
      <c r="I17" s="389"/>
      <c r="J17" s="389"/>
      <c r="K17" s="389"/>
      <c r="L17" s="389"/>
      <c r="M17" s="389"/>
      <c r="N17" s="389"/>
      <c r="O17" s="389"/>
      <c r="P17" s="389"/>
      <c r="Q17" s="389"/>
      <c r="R17" s="390"/>
      <c r="S17" s="389"/>
      <c r="T17" s="389"/>
      <c r="U17" s="389">
        <v>2000</v>
      </c>
      <c r="V17" s="15"/>
    </row>
    <row r="18" spans="1:46">
      <c r="A18" s="48"/>
      <c r="B18" s="8" t="s">
        <v>13</v>
      </c>
      <c r="C18" s="20">
        <f>SUBTOTAL(109,SpecialEventsRevenues[Budget 10/11])</f>
        <v>0</v>
      </c>
      <c r="D18" s="20">
        <f>SUBTOTAL(109,SpecialEventsRevenues[Actual 10/11])</f>
        <v>1000</v>
      </c>
      <c r="E18" s="20">
        <f>SUBTOTAL(109,SpecialEventsRevenues[Budget 11/12])</f>
        <v>8000</v>
      </c>
      <c r="F18" s="20">
        <f>SUBTOTAL(109,SpecialEventsRevenues[Actual 11/12])</f>
        <v>7782.3</v>
      </c>
      <c r="G18" s="20">
        <f>SUBTOTAL(109,SpecialEventsRevenues[Budget 12/13])</f>
        <v>15000</v>
      </c>
      <c r="H18" s="20">
        <f>SUBTOTAL(109,SpecialEventsRevenues[Actual 12/13])</f>
        <v>19531.64</v>
      </c>
      <c r="I18" s="20">
        <f>SUBTOTAL(109,SpecialEventsRevenues[Budget 13/14])</f>
        <v>15000</v>
      </c>
      <c r="J18" s="20">
        <f>SUBTOTAL(109,SpecialEventsRevenues[Actual 13/14])</f>
        <v>11611.210000000001</v>
      </c>
      <c r="K18" s="20">
        <f>SUBTOTAL(109,SpecialEventsRevenues[Budget 14/15])</f>
        <v>13000</v>
      </c>
      <c r="L18" s="20">
        <f>SUBTOTAL(109,SpecialEventsRevenues[Actual 14/15])</f>
        <v>62870.62</v>
      </c>
      <c r="M18" s="20">
        <f>SUBTOTAL(109,SpecialEventsRevenues[Budget 15/16])</f>
        <v>47458</v>
      </c>
      <c r="N18" s="169">
        <f>SUBTOTAL(109,SpecialEventsRevenues[Actual 15/16])</f>
        <v>46621.919999999991</v>
      </c>
      <c r="O18" s="20">
        <f>SUBTOTAL(109,SpecialEventsRevenues[Budget 16/17])</f>
        <v>30000</v>
      </c>
      <c r="P18" s="20">
        <f>SUBTOTAL(109,SpecialEventsRevenues[Actual])</f>
        <v>32789</v>
      </c>
      <c r="Q18" s="20">
        <f>SUBTOTAL(109,SpecialEventsRevenues[Budget 17/18])</f>
        <v>30000</v>
      </c>
      <c r="R18" s="20">
        <f>SUM(SpecialEventsRevenues[Actual 17/18])</f>
        <v>28462.35</v>
      </c>
      <c r="S18" s="20">
        <f>SUM(SpecialEventsRevenues[Budget 18/19])</f>
        <v>25000</v>
      </c>
      <c r="T18" s="20">
        <f>SUM(SpecialEventsRevenues[Actual 18/19])</f>
        <v>20247.93</v>
      </c>
      <c r="U18" s="20">
        <f>SUM(SpecialEventsRevenues[Budget 19/20])</f>
        <v>23000</v>
      </c>
      <c r="V18" s="20"/>
    </row>
    <row r="19" spans="1:46">
      <c r="B19" s="8"/>
      <c r="C19" s="15"/>
      <c r="D19" s="15"/>
      <c r="E19" s="15"/>
      <c r="F19" s="15"/>
      <c r="G19" s="15"/>
      <c r="H19" s="15"/>
      <c r="I19" s="15"/>
      <c r="J19" s="15"/>
      <c r="K19" s="15"/>
      <c r="L19" s="15"/>
      <c r="M19" s="15"/>
    </row>
    <row r="20" spans="1:46">
      <c r="A20" s="48" t="s">
        <v>107</v>
      </c>
      <c r="B20" s="8" t="s">
        <v>502</v>
      </c>
      <c r="C20" s="8" t="s">
        <v>48</v>
      </c>
      <c r="D20" s="8" t="s">
        <v>49</v>
      </c>
      <c r="E20" s="8" t="s">
        <v>50</v>
      </c>
      <c r="F20" s="8" t="s">
        <v>51</v>
      </c>
      <c r="G20" s="8" t="s">
        <v>52</v>
      </c>
      <c r="H20" s="8" t="s">
        <v>53</v>
      </c>
      <c r="I20" s="8" t="s">
        <v>54</v>
      </c>
      <c r="J20" s="8" t="s">
        <v>55</v>
      </c>
      <c r="K20" s="8" t="s">
        <v>56</v>
      </c>
      <c r="L20" s="8" t="s">
        <v>104</v>
      </c>
      <c r="M20" s="8" t="s">
        <v>29</v>
      </c>
      <c r="N20" s="160" t="s">
        <v>30</v>
      </c>
      <c r="O20" s="8" t="s">
        <v>31</v>
      </c>
      <c r="P20" s="8" t="s">
        <v>582</v>
      </c>
      <c r="Q20" s="8" t="s">
        <v>33</v>
      </c>
      <c r="R20" s="8" t="s">
        <v>34</v>
      </c>
      <c r="S20" s="8" t="s">
        <v>6</v>
      </c>
      <c r="T20" s="8" t="s">
        <v>7</v>
      </c>
      <c r="U20" s="8" t="s">
        <v>8</v>
      </c>
      <c r="V20" s="8" t="s">
        <v>35</v>
      </c>
    </row>
    <row r="21" spans="1:46">
      <c r="A21" s="48" t="s">
        <v>583</v>
      </c>
      <c r="B21" s="8" t="s">
        <v>573</v>
      </c>
      <c r="C21" s="15">
        <v>1844</v>
      </c>
      <c r="D21" s="15">
        <v>13415.78</v>
      </c>
      <c r="E21" s="15">
        <v>4875.22</v>
      </c>
      <c r="F21" s="15">
        <v>11998.57</v>
      </c>
      <c r="G21" s="15">
        <v>5000</v>
      </c>
      <c r="H21" s="15">
        <v>9641.2000000000007</v>
      </c>
      <c r="I21" s="15">
        <v>5000</v>
      </c>
      <c r="J21" s="15">
        <v>17474.64</v>
      </c>
      <c r="K21" s="15">
        <v>5000</v>
      </c>
      <c r="L21" s="15">
        <v>7635.22</v>
      </c>
      <c r="M21" s="15">
        <v>0</v>
      </c>
      <c r="N21" s="167">
        <v>0</v>
      </c>
      <c r="O21" s="15">
        <v>0</v>
      </c>
      <c r="P21" s="15"/>
      <c r="Q21" s="15"/>
      <c r="R21" s="15"/>
      <c r="S21" s="15"/>
      <c r="T21" s="15"/>
      <c r="U21" s="15"/>
      <c r="V21" s="15"/>
    </row>
    <row r="22" spans="1:46">
      <c r="A22" s="48" t="s">
        <v>584</v>
      </c>
      <c r="B22" s="8" t="s">
        <v>574</v>
      </c>
      <c r="C22" s="15">
        <v>0</v>
      </c>
      <c r="D22" s="15">
        <v>3142.9</v>
      </c>
      <c r="E22" s="15">
        <v>0</v>
      </c>
      <c r="F22" s="15">
        <v>2977.26</v>
      </c>
      <c r="G22" s="15">
        <v>0</v>
      </c>
      <c r="H22" s="15">
        <v>1272.05</v>
      </c>
      <c r="I22" s="15">
        <v>0</v>
      </c>
      <c r="J22" s="15"/>
      <c r="K22" s="15">
        <v>0</v>
      </c>
      <c r="L22" s="15">
        <v>1395.17</v>
      </c>
      <c r="M22" s="15">
        <v>0</v>
      </c>
      <c r="N22" s="167">
        <v>0</v>
      </c>
      <c r="O22" s="15">
        <v>0</v>
      </c>
      <c r="P22" s="15"/>
      <c r="Q22" s="15"/>
      <c r="R22" s="15"/>
      <c r="S22" s="15"/>
      <c r="T22" s="15"/>
      <c r="U22" s="15"/>
      <c r="V22" s="15"/>
    </row>
    <row r="23" spans="1:46">
      <c r="A23" s="48" t="s">
        <v>585</v>
      </c>
      <c r="B23" s="8" t="s">
        <v>586</v>
      </c>
      <c r="C23" s="15">
        <v>0</v>
      </c>
      <c r="D23" s="15">
        <v>784.01</v>
      </c>
      <c r="E23" s="15">
        <v>0</v>
      </c>
      <c r="F23" s="15">
        <v>118.64</v>
      </c>
      <c r="G23" s="15">
        <v>0</v>
      </c>
      <c r="H23" s="15">
        <v>861.32</v>
      </c>
      <c r="I23" s="15">
        <v>0</v>
      </c>
      <c r="J23" s="15">
        <v>1900</v>
      </c>
      <c r="K23" s="15">
        <v>0</v>
      </c>
      <c r="L23" s="15">
        <v>49.45</v>
      </c>
      <c r="M23" s="15">
        <v>0</v>
      </c>
      <c r="N23" s="167">
        <v>0</v>
      </c>
      <c r="O23" s="15">
        <v>0</v>
      </c>
      <c r="P23" s="15"/>
      <c r="Q23" s="15"/>
      <c r="R23" s="15"/>
      <c r="S23" s="15"/>
      <c r="T23" s="15"/>
      <c r="U23" s="15"/>
      <c r="V23" s="15"/>
    </row>
    <row r="24" spans="1:46">
      <c r="A24" s="48" t="s">
        <v>587</v>
      </c>
      <c r="B24" s="8" t="s">
        <v>577</v>
      </c>
      <c r="C24" s="20">
        <v>0</v>
      </c>
      <c r="D24" s="20">
        <v>0</v>
      </c>
      <c r="E24" s="20">
        <v>0</v>
      </c>
      <c r="F24" s="20">
        <v>0</v>
      </c>
      <c r="G24" s="20">
        <v>0</v>
      </c>
      <c r="H24" s="20">
        <v>0</v>
      </c>
      <c r="I24" s="20">
        <v>0</v>
      </c>
      <c r="J24" s="20"/>
      <c r="K24" s="20">
        <v>0</v>
      </c>
      <c r="L24" s="20">
        <v>0</v>
      </c>
      <c r="M24" s="20">
        <v>0</v>
      </c>
      <c r="N24" s="169">
        <v>0</v>
      </c>
      <c r="O24" s="20">
        <v>0</v>
      </c>
      <c r="P24" s="15"/>
      <c r="Q24" s="15"/>
      <c r="R24" s="15"/>
      <c r="S24" s="15"/>
      <c r="T24" s="15"/>
      <c r="U24" s="15"/>
      <c r="V24" s="15"/>
    </row>
    <row r="25" spans="1:46">
      <c r="A25" s="48" t="s">
        <v>588</v>
      </c>
      <c r="B25" s="8" t="s">
        <v>578</v>
      </c>
      <c r="C25" s="15">
        <v>0</v>
      </c>
      <c r="D25" s="15">
        <v>0</v>
      </c>
      <c r="E25" s="15">
        <v>0</v>
      </c>
      <c r="F25" s="15">
        <v>0</v>
      </c>
      <c r="G25" s="15">
        <v>0</v>
      </c>
      <c r="H25" s="15">
        <v>0</v>
      </c>
      <c r="I25" s="15">
        <v>0</v>
      </c>
      <c r="J25" s="15"/>
      <c r="K25" s="15">
        <v>0</v>
      </c>
      <c r="L25" s="15">
        <v>0</v>
      </c>
      <c r="M25" s="15">
        <v>0</v>
      </c>
      <c r="N25" s="167">
        <v>0</v>
      </c>
      <c r="O25" s="15">
        <v>0</v>
      </c>
      <c r="P25" s="15"/>
      <c r="Q25" s="15"/>
      <c r="R25" s="15"/>
      <c r="S25" s="15"/>
      <c r="T25" s="15"/>
      <c r="U25" s="15"/>
      <c r="V25" s="15"/>
    </row>
    <row r="26" spans="1:46">
      <c r="A26" s="48"/>
      <c r="B26" s="8" t="s">
        <v>589</v>
      </c>
      <c r="C26" s="15"/>
      <c r="D26" s="15"/>
      <c r="E26" s="15"/>
      <c r="F26" s="15"/>
      <c r="G26" s="15"/>
      <c r="H26" s="15"/>
      <c r="I26" s="15"/>
      <c r="J26" s="15">
        <v>1022.75</v>
      </c>
      <c r="K26" s="15"/>
      <c r="L26" s="15">
        <v>3284.59</v>
      </c>
      <c r="M26" s="15">
        <v>0</v>
      </c>
      <c r="N26" s="167">
        <v>0</v>
      </c>
      <c r="O26" s="15">
        <v>0</v>
      </c>
      <c r="P26" s="15"/>
      <c r="Q26" s="15"/>
      <c r="R26" s="15"/>
      <c r="S26" s="15"/>
      <c r="T26" s="15"/>
      <c r="U26" s="15"/>
      <c r="V26" s="15"/>
    </row>
    <row r="27" spans="1:46">
      <c r="A27" s="48"/>
      <c r="B27" s="8" t="s">
        <v>13</v>
      </c>
      <c r="C27" s="20">
        <f>SUBTOTAL(109,SpecialEventsCostofSales[Budget 10/11])</f>
        <v>1844</v>
      </c>
      <c r="D27" s="20">
        <f>SUBTOTAL(109,SpecialEventsCostofSales[Actual 10/11])</f>
        <v>17342.689999999999</v>
      </c>
      <c r="E27" s="20">
        <f>SUBTOTAL(109,SpecialEventsCostofSales[Budget 11/12])</f>
        <v>4875.22</v>
      </c>
      <c r="F27" s="20">
        <f>SUBTOTAL(109,SpecialEventsCostofSales[Actual 11/12])</f>
        <v>15094.47</v>
      </c>
      <c r="G27" s="20">
        <f>SUBTOTAL(109,SpecialEventsCostofSales[Budget 12/13])</f>
        <v>5000</v>
      </c>
      <c r="H27" s="20">
        <f>SUBTOTAL(109,SpecialEventsCostofSales[Actual 12/13])</f>
        <v>11774.57</v>
      </c>
      <c r="I27" s="20">
        <f>SUBTOTAL(109,SpecialEventsCostofSales[Budget 13/14])</f>
        <v>5000</v>
      </c>
      <c r="J27" s="20">
        <f>SUBTOTAL(109,SpecialEventsCostofSales[Actual 13/14])</f>
        <v>20397.39</v>
      </c>
      <c r="K27" s="20">
        <f>SUBTOTAL(109,SpecialEventsCostofSales[Budget 14/15])</f>
        <v>5000</v>
      </c>
      <c r="L27" s="20">
        <f>SUBTOTAL(109,SpecialEventsCostofSales[Actual 14/15])</f>
        <v>12364.43</v>
      </c>
      <c r="M27" s="20">
        <f>SUBTOTAL(109,SpecialEventsCostofSales[Budget 15/16])</f>
        <v>0</v>
      </c>
      <c r="N27" s="169">
        <f>SUBTOTAL(109,SpecialEventsCostofSales[Actual 15/16])</f>
        <v>0</v>
      </c>
      <c r="O27" s="20">
        <f>SUBTOTAL(109,SpecialEventsCostofSales[Budget 16/17])</f>
        <v>0</v>
      </c>
      <c r="P27" s="20">
        <f>SUBTOTAL(109,SpecialEventsCostofSales[actual])</f>
        <v>0</v>
      </c>
      <c r="Q27" s="20">
        <f>SUBTOTAL(109,SpecialEventsCostofSales[Budget 17/18])</f>
        <v>0</v>
      </c>
      <c r="R27" s="191"/>
      <c r="S27" s="8"/>
      <c r="T27" s="8"/>
      <c r="U27" s="8"/>
      <c r="V27"/>
    </row>
    <row r="28" spans="1:46" s="8" customFormat="1">
      <c r="B28" s="26"/>
      <c r="C28" s="20"/>
      <c r="D28" s="20"/>
      <c r="E28" s="20"/>
      <c r="F28" s="20"/>
      <c r="G28" s="20"/>
      <c r="H28" s="20"/>
      <c r="I28" s="20"/>
      <c r="J28" s="20"/>
      <c r="K28" s="20"/>
      <c r="L28" s="20"/>
      <c r="M28" s="20"/>
      <c r="N28" s="144"/>
      <c r="O28" s="12"/>
      <c r="P28" s="10"/>
    </row>
    <row r="29" spans="1:46">
      <c r="B29" s="8"/>
      <c r="C29" s="8"/>
      <c r="D29" s="8"/>
      <c r="E29" s="8"/>
      <c r="F29" s="8"/>
      <c r="G29" s="8"/>
      <c r="H29" s="8"/>
      <c r="I29" s="8"/>
      <c r="J29" s="8"/>
      <c r="K29" s="8"/>
      <c r="L29" s="8"/>
      <c r="M29" s="8"/>
    </row>
    <row r="30" spans="1:46">
      <c r="A30" s="48" t="s">
        <v>107</v>
      </c>
      <c r="B30" s="8" t="s">
        <v>61</v>
      </c>
      <c r="C30" s="8" t="s">
        <v>48</v>
      </c>
      <c r="D30" s="8" t="s">
        <v>49</v>
      </c>
      <c r="E30" s="8" t="s">
        <v>50</v>
      </c>
      <c r="F30" s="8" t="s">
        <v>51</v>
      </c>
      <c r="G30" s="8" t="s">
        <v>52</v>
      </c>
      <c r="H30" s="8" t="s">
        <v>53</v>
      </c>
      <c r="I30" s="8" t="s">
        <v>54</v>
      </c>
      <c r="J30" s="8" t="s">
        <v>55</v>
      </c>
      <c r="K30" s="8" t="s">
        <v>56</v>
      </c>
      <c r="L30" s="8" t="s">
        <v>104</v>
      </c>
      <c r="M30" s="8" t="s">
        <v>29</v>
      </c>
      <c r="N30" s="160" t="s">
        <v>30</v>
      </c>
      <c r="O30" s="8" t="s">
        <v>31</v>
      </c>
      <c r="P30" s="8" t="s">
        <v>570</v>
      </c>
      <c r="Q30" s="8" t="s">
        <v>33</v>
      </c>
      <c r="R30" s="8" t="s">
        <v>34</v>
      </c>
      <c r="S30" s="8" t="s">
        <v>6</v>
      </c>
      <c r="T30" s="8" t="s">
        <v>7</v>
      </c>
      <c r="U30" s="8" t="s">
        <v>8</v>
      </c>
      <c r="V30" s="8" t="s">
        <v>35</v>
      </c>
      <c r="W30"/>
      <c r="Z30"/>
      <c r="AA30"/>
      <c r="AB30"/>
      <c r="AC30"/>
      <c r="AD30"/>
      <c r="AE30"/>
      <c r="AF30"/>
      <c r="AG30"/>
      <c r="AH30"/>
      <c r="AI30"/>
      <c r="AJ30"/>
      <c r="AK30"/>
      <c r="AL30"/>
      <c r="AM30"/>
      <c r="AN30"/>
      <c r="AO30"/>
      <c r="AP30"/>
      <c r="AQ30"/>
      <c r="AR30"/>
      <c r="AS30"/>
      <c r="AT30"/>
    </row>
    <row r="31" spans="1:46">
      <c r="A31" s="48" t="s">
        <v>590</v>
      </c>
      <c r="B31" s="8" t="s">
        <v>68</v>
      </c>
      <c r="C31" s="20">
        <v>3500</v>
      </c>
      <c r="D31" s="20">
        <v>2111.14</v>
      </c>
      <c r="E31" s="20">
        <v>3500</v>
      </c>
      <c r="F31" s="20">
        <v>3295.35</v>
      </c>
      <c r="G31" s="20">
        <v>2800</v>
      </c>
      <c r="H31" s="20">
        <v>1583.51</v>
      </c>
      <c r="I31" s="20">
        <v>7860</v>
      </c>
      <c r="J31" s="20">
        <v>2759.12</v>
      </c>
      <c r="K31" s="20">
        <v>3500</v>
      </c>
      <c r="L31" s="20">
        <v>2006.78</v>
      </c>
      <c r="M31" s="20">
        <v>2500</v>
      </c>
      <c r="N31" s="149">
        <v>1439.83</v>
      </c>
      <c r="O31" s="15">
        <v>1500</v>
      </c>
      <c r="P31" s="15">
        <v>1300</v>
      </c>
      <c r="Q31" s="1">
        <v>1500</v>
      </c>
      <c r="R31" s="1">
        <v>1113.1199999999999</v>
      </c>
      <c r="S31" s="1">
        <v>1500</v>
      </c>
      <c r="T31" s="1">
        <v>380.89</v>
      </c>
      <c r="U31" s="1">
        <v>1500</v>
      </c>
      <c r="V31" s="1"/>
      <c r="X31"/>
      <c r="Y31"/>
      <c r="Z31"/>
      <c r="AA31" s="344"/>
      <c r="AB31"/>
      <c r="AC31"/>
      <c r="AD31"/>
      <c r="AE31"/>
      <c r="AF31"/>
      <c r="AG31"/>
      <c r="AH31"/>
      <c r="AI31"/>
      <c r="AJ31"/>
      <c r="AK31"/>
      <c r="AL31"/>
      <c r="AM31"/>
      <c r="AN31"/>
      <c r="AO31"/>
      <c r="AP31"/>
      <c r="AQ31"/>
      <c r="AR31"/>
      <c r="AS31"/>
      <c r="AT31"/>
    </row>
    <row r="32" spans="1:46">
      <c r="A32" s="48" t="s">
        <v>591</v>
      </c>
      <c r="B32" s="8" t="s">
        <v>70</v>
      </c>
      <c r="C32" s="15">
        <v>600</v>
      </c>
      <c r="D32" s="15">
        <v>342.91</v>
      </c>
      <c r="E32" s="15">
        <v>500</v>
      </c>
      <c r="F32" s="15">
        <v>373.58</v>
      </c>
      <c r="G32" s="15">
        <v>500</v>
      </c>
      <c r="H32" s="15">
        <v>283.82</v>
      </c>
      <c r="I32" s="15">
        <v>850</v>
      </c>
      <c r="J32" s="15">
        <v>279</v>
      </c>
      <c r="K32" s="15">
        <v>500</v>
      </c>
      <c r="L32" s="15">
        <v>305.62</v>
      </c>
      <c r="M32" s="15">
        <v>300</v>
      </c>
      <c r="N32" s="149">
        <v>257.61</v>
      </c>
      <c r="O32" s="15">
        <v>300</v>
      </c>
      <c r="P32" s="15">
        <v>147</v>
      </c>
      <c r="Q32" s="1">
        <v>300</v>
      </c>
      <c r="R32" s="1">
        <v>227.58</v>
      </c>
      <c r="S32" s="1">
        <v>300</v>
      </c>
      <c r="T32" s="1">
        <v>227.8</v>
      </c>
      <c r="U32" s="1">
        <v>300</v>
      </c>
      <c r="V32" s="1"/>
      <c r="X32" s="4"/>
      <c r="Y32" s="4"/>
      <c r="Z32"/>
      <c r="AA32"/>
      <c r="AB32"/>
      <c r="AC32"/>
      <c r="AD32"/>
      <c r="AE32"/>
      <c r="AF32"/>
      <c r="AG32"/>
      <c r="AH32"/>
      <c r="AI32"/>
      <c r="AJ32"/>
      <c r="AK32"/>
      <c r="AL32"/>
      <c r="AM32"/>
      <c r="AN32"/>
      <c r="AO32"/>
      <c r="AP32"/>
      <c r="AQ32"/>
      <c r="AR32"/>
      <c r="AS32"/>
      <c r="AT32"/>
    </row>
    <row r="33" spans="1:46">
      <c r="A33" s="48" t="s">
        <v>592</v>
      </c>
      <c r="B33" s="8" t="s">
        <v>74</v>
      </c>
      <c r="C33" s="15">
        <v>5</v>
      </c>
      <c r="D33" s="15">
        <v>0</v>
      </c>
      <c r="E33" s="15">
        <v>5</v>
      </c>
      <c r="F33" s="15">
        <v>0</v>
      </c>
      <c r="G33" s="15">
        <v>5</v>
      </c>
      <c r="H33" s="15">
        <v>0</v>
      </c>
      <c r="I33" s="15">
        <v>10</v>
      </c>
      <c r="J33" s="15"/>
      <c r="K33" s="15">
        <v>5</v>
      </c>
      <c r="L33" s="15">
        <v>0</v>
      </c>
      <c r="M33" s="15">
        <v>5</v>
      </c>
      <c r="N33" s="167">
        <v>0</v>
      </c>
      <c r="O33" s="15">
        <v>5</v>
      </c>
      <c r="P33" s="15"/>
      <c r="Q33" s="1">
        <v>5</v>
      </c>
      <c r="R33" s="1"/>
      <c r="S33" s="1"/>
      <c r="T33" s="1"/>
      <c r="U33" s="1"/>
      <c r="V33" s="1"/>
      <c r="X33"/>
      <c r="Y33"/>
      <c r="Z33"/>
      <c r="AA33"/>
      <c r="AB33"/>
      <c r="AC33"/>
      <c r="AD33"/>
      <c r="AE33"/>
      <c r="AF33"/>
      <c r="AG33"/>
      <c r="AH33"/>
      <c r="AI33"/>
      <c r="AJ33"/>
      <c r="AK33"/>
      <c r="AL33"/>
      <c r="AM33"/>
      <c r="AN33"/>
      <c r="AO33"/>
      <c r="AP33"/>
      <c r="AQ33"/>
      <c r="AR33"/>
      <c r="AS33"/>
      <c r="AT33"/>
    </row>
    <row r="34" spans="1:46">
      <c r="A34" s="48" t="s">
        <v>593</v>
      </c>
      <c r="B34" s="8" t="s">
        <v>77</v>
      </c>
      <c r="C34" s="15">
        <v>400</v>
      </c>
      <c r="D34" s="15">
        <v>30.18</v>
      </c>
      <c r="E34" s="15">
        <v>300</v>
      </c>
      <c r="F34" s="15">
        <v>304.33</v>
      </c>
      <c r="G34" s="15">
        <v>300</v>
      </c>
      <c r="H34" s="15">
        <v>218.38</v>
      </c>
      <c r="I34" s="15">
        <v>600</v>
      </c>
      <c r="J34" s="15">
        <v>86.44</v>
      </c>
      <c r="K34" s="15">
        <v>300</v>
      </c>
      <c r="L34" s="15">
        <v>101.99</v>
      </c>
      <c r="M34" s="15">
        <v>125</v>
      </c>
      <c r="N34" s="149">
        <v>127.15</v>
      </c>
      <c r="O34" s="15">
        <v>125</v>
      </c>
      <c r="P34" s="15">
        <v>100</v>
      </c>
      <c r="Q34" s="1">
        <v>125</v>
      </c>
      <c r="R34" s="1">
        <v>18.190000000000001</v>
      </c>
      <c r="S34" s="1">
        <v>125</v>
      </c>
      <c r="T34" s="1">
        <v>102.8</v>
      </c>
      <c r="U34" s="1">
        <v>50</v>
      </c>
      <c r="V34" s="1"/>
      <c r="W34"/>
      <c r="Y34" s="4"/>
      <c r="Z34"/>
      <c r="AA34"/>
      <c r="AB34"/>
      <c r="AC34"/>
      <c r="AD34"/>
      <c r="AE34"/>
      <c r="AF34"/>
      <c r="AG34"/>
      <c r="AH34"/>
      <c r="AI34"/>
      <c r="AJ34"/>
      <c r="AK34"/>
      <c r="AL34"/>
      <c r="AM34"/>
      <c r="AN34"/>
      <c r="AO34"/>
      <c r="AP34"/>
      <c r="AQ34"/>
      <c r="AR34"/>
      <c r="AS34"/>
      <c r="AT34"/>
    </row>
    <row r="35" spans="1:46">
      <c r="A35" s="48" t="s">
        <v>594</v>
      </c>
      <c r="B35" s="8" t="s">
        <v>215</v>
      </c>
      <c r="C35" s="15">
        <v>0</v>
      </c>
      <c r="D35" s="15">
        <v>3501.53</v>
      </c>
      <c r="E35" s="15">
        <v>6100</v>
      </c>
      <c r="F35" s="15">
        <v>0</v>
      </c>
      <c r="G35" s="15">
        <v>0</v>
      </c>
      <c r="H35" s="15">
        <v>0</v>
      </c>
      <c r="I35" s="15">
        <v>0</v>
      </c>
      <c r="J35" s="15"/>
      <c r="K35" s="15"/>
      <c r="L35" s="15">
        <v>0</v>
      </c>
      <c r="M35" s="15">
        <v>0</v>
      </c>
      <c r="N35" s="167">
        <v>0</v>
      </c>
      <c r="O35" s="15">
        <v>0</v>
      </c>
      <c r="P35" s="15"/>
      <c r="Q35" s="1"/>
      <c r="R35" s="1">
        <v>9.2200000000000006</v>
      </c>
      <c r="S35" s="1"/>
      <c r="T35" s="1"/>
      <c r="U35" s="1"/>
      <c r="V35" s="1"/>
      <c r="W35"/>
      <c r="X35"/>
      <c r="Y35"/>
      <c r="Z35"/>
      <c r="AA35"/>
      <c r="AB35"/>
      <c r="AC35"/>
      <c r="AD35"/>
      <c r="AE35"/>
      <c r="AF35"/>
      <c r="AG35"/>
      <c r="AH35"/>
      <c r="AI35"/>
      <c r="AJ35"/>
      <c r="AK35"/>
      <c r="AL35"/>
      <c r="AM35"/>
      <c r="AN35"/>
      <c r="AO35"/>
      <c r="AP35"/>
      <c r="AQ35"/>
      <c r="AR35"/>
      <c r="AS35"/>
      <c r="AT35"/>
    </row>
    <row r="36" spans="1:46">
      <c r="A36" s="48" t="s">
        <v>595</v>
      </c>
      <c r="B36" s="8" t="s">
        <v>216</v>
      </c>
      <c r="C36" s="15">
        <v>1000</v>
      </c>
      <c r="D36" s="15">
        <v>450.04</v>
      </c>
      <c r="E36" s="15">
        <v>600</v>
      </c>
      <c r="F36" s="15">
        <v>674.47</v>
      </c>
      <c r="G36" s="15">
        <v>500</v>
      </c>
      <c r="H36" s="15">
        <v>177.93</v>
      </c>
      <c r="I36" s="15">
        <v>550</v>
      </c>
      <c r="J36" s="15">
        <v>15.61</v>
      </c>
      <c r="K36" s="15">
        <v>300</v>
      </c>
      <c r="L36" s="15">
        <v>7.26</v>
      </c>
      <c r="M36" s="15">
        <v>300</v>
      </c>
      <c r="N36" s="149">
        <v>7.36</v>
      </c>
      <c r="O36" s="15">
        <v>150</v>
      </c>
      <c r="P36" s="15">
        <v>79.89</v>
      </c>
      <c r="Q36" s="1">
        <v>150</v>
      </c>
      <c r="R36" s="1">
        <v>87.1</v>
      </c>
      <c r="S36" s="1">
        <v>150</v>
      </c>
      <c r="T36" s="1">
        <v>0</v>
      </c>
      <c r="U36" s="1">
        <v>100</v>
      </c>
      <c r="V36" s="1"/>
      <c r="W36"/>
      <c r="X36"/>
      <c r="Y36"/>
      <c r="Z36"/>
      <c r="AA36"/>
      <c r="AB36"/>
      <c r="AC36"/>
      <c r="AD36"/>
      <c r="AE36"/>
      <c r="AF36"/>
      <c r="AG36"/>
      <c r="AH36"/>
      <c r="AI36"/>
      <c r="AJ36"/>
      <c r="AK36"/>
      <c r="AL36"/>
      <c r="AM36"/>
      <c r="AN36"/>
      <c r="AO36"/>
      <c r="AP36"/>
      <c r="AQ36"/>
      <c r="AR36"/>
      <c r="AS36"/>
      <c r="AT36"/>
    </row>
    <row r="37" spans="1:46">
      <c r="A37" s="48" t="s">
        <v>596</v>
      </c>
      <c r="B37" s="8" t="s">
        <v>81</v>
      </c>
      <c r="C37" s="15">
        <v>500</v>
      </c>
      <c r="D37" s="15">
        <v>454.31</v>
      </c>
      <c r="E37" s="15">
        <v>500</v>
      </c>
      <c r="F37" s="15">
        <v>814.13</v>
      </c>
      <c r="G37" s="15">
        <v>1000</v>
      </c>
      <c r="H37" s="15">
        <v>880.26</v>
      </c>
      <c r="I37" s="15">
        <v>1600</v>
      </c>
      <c r="J37" s="15">
        <v>255.44</v>
      </c>
      <c r="K37" s="15">
        <v>800</v>
      </c>
      <c r="L37" s="15">
        <v>255.31</v>
      </c>
      <c r="M37" s="15">
        <v>300</v>
      </c>
      <c r="N37" s="149">
        <v>54.98</v>
      </c>
      <c r="O37" s="15">
        <v>300</v>
      </c>
      <c r="P37" s="15">
        <v>299.67</v>
      </c>
      <c r="Q37" s="1">
        <v>300</v>
      </c>
      <c r="R37" s="1"/>
      <c r="S37" s="1">
        <v>150</v>
      </c>
      <c r="T37" s="1">
        <v>42.04</v>
      </c>
      <c r="U37" s="1">
        <v>50</v>
      </c>
      <c r="V37" s="1"/>
      <c r="W37"/>
      <c r="X37"/>
      <c r="Y37"/>
      <c r="Z37"/>
      <c r="AA37"/>
      <c r="AB37"/>
      <c r="AC37"/>
      <c r="AD37"/>
      <c r="AE37"/>
      <c r="AF37"/>
      <c r="AG37"/>
      <c r="AH37"/>
      <c r="AI37"/>
      <c r="AJ37"/>
      <c r="AK37"/>
      <c r="AL37"/>
      <c r="AM37"/>
      <c r="AN37"/>
      <c r="AO37"/>
      <c r="AP37"/>
      <c r="AQ37"/>
      <c r="AR37"/>
      <c r="AS37"/>
      <c r="AT37"/>
    </row>
    <row r="38" spans="1:46">
      <c r="A38" s="48" t="s">
        <v>596</v>
      </c>
      <c r="B38" s="8" t="s">
        <v>597</v>
      </c>
      <c r="C38" s="15">
        <v>1000</v>
      </c>
      <c r="D38" s="15">
        <v>3281.51</v>
      </c>
      <c r="E38" s="15">
        <v>3500</v>
      </c>
      <c r="F38" s="15">
        <v>5151.6499999999996</v>
      </c>
      <c r="G38" s="15">
        <v>4000</v>
      </c>
      <c r="H38" s="15">
        <v>8056.41</v>
      </c>
      <c r="I38" s="15">
        <v>5000</v>
      </c>
      <c r="J38" s="15">
        <v>1054.6400000000001</v>
      </c>
      <c r="K38" s="15">
        <v>3500</v>
      </c>
      <c r="L38" s="15">
        <v>1379.97</v>
      </c>
      <c r="M38" s="15">
        <v>0</v>
      </c>
      <c r="N38" s="167">
        <v>0</v>
      </c>
      <c r="O38" s="15">
        <v>0</v>
      </c>
      <c r="P38" s="15"/>
      <c r="Q38" s="1"/>
      <c r="R38" s="1"/>
      <c r="S38" s="1"/>
      <c r="T38" s="1"/>
      <c r="U38" s="1"/>
      <c r="V38" s="1"/>
      <c r="W38"/>
      <c r="X38"/>
      <c r="Y38"/>
      <c r="Z38"/>
      <c r="AA38"/>
      <c r="AB38"/>
      <c r="AC38"/>
      <c r="AD38"/>
      <c r="AE38"/>
      <c r="AF38"/>
      <c r="AG38"/>
      <c r="AH38"/>
      <c r="AI38"/>
      <c r="AJ38"/>
      <c r="AK38"/>
      <c r="AL38"/>
      <c r="AM38"/>
      <c r="AN38"/>
      <c r="AO38"/>
      <c r="AP38"/>
      <c r="AQ38"/>
      <c r="AR38"/>
      <c r="AS38"/>
      <c r="AT38"/>
    </row>
    <row r="39" spans="1:46">
      <c r="A39" s="48" t="s">
        <v>598</v>
      </c>
      <c r="B39" s="8" t="s">
        <v>599</v>
      </c>
      <c r="C39" s="15">
        <v>500</v>
      </c>
      <c r="D39" s="15">
        <v>100</v>
      </c>
      <c r="E39" s="15">
        <v>500</v>
      </c>
      <c r="F39" s="15">
        <v>303.89999999999998</v>
      </c>
      <c r="G39" s="15">
        <v>300</v>
      </c>
      <c r="H39" s="15">
        <v>303.89999999999998</v>
      </c>
      <c r="I39" s="15">
        <v>300</v>
      </c>
      <c r="J39" s="15">
        <v>303.89999999999998</v>
      </c>
      <c r="K39" s="15">
        <v>350</v>
      </c>
      <c r="L39" s="15"/>
      <c r="M39" s="15">
        <v>350</v>
      </c>
      <c r="N39" s="149">
        <v>354.55</v>
      </c>
      <c r="O39" s="15">
        <v>350</v>
      </c>
      <c r="P39" s="15">
        <v>304.05</v>
      </c>
      <c r="Q39" s="1">
        <v>350</v>
      </c>
      <c r="R39" s="1"/>
      <c r="S39" s="1">
        <v>350</v>
      </c>
      <c r="T39" s="1">
        <v>350</v>
      </c>
      <c r="U39" s="1">
        <v>400</v>
      </c>
      <c r="V39" s="1"/>
      <c r="W39"/>
      <c r="X39"/>
      <c r="Y39"/>
      <c r="Z39"/>
      <c r="AA39"/>
      <c r="AB39"/>
      <c r="AC39"/>
      <c r="AD39"/>
      <c r="AE39"/>
      <c r="AF39"/>
      <c r="AG39"/>
      <c r="AH39"/>
      <c r="AI39"/>
      <c r="AJ39"/>
      <c r="AK39"/>
      <c r="AL39"/>
      <c r="AM39"/>
      <c r="AN39"/>
      <c r="AO39"/>
      <c r="AP39"/>
      <c r="AQ39"/>
      <c r="AR39"/>
      <c r="AS39"/>
      <c r="AT39"/>
    </row>
    <row r="40" spans="1:46">
      <c r="A40" s="48" t="s">
        <v>600</v>
      </c>
      <c r="B40" s="8" t="s">
        <v>289</v>
      </c>
      <c r="C40" s="15">
        <v>6000</v>
      </c>
      <c r="D40" s="15">
        <v>2543.3000000000002</v>
      </c>
      <c r="E40" s="15">
        <v>0</v>
      </c>
      <c r="F40" s="15">
        <v>8721.5400000000009</v>
      </c>
      <c r="G40" s="15">
        <v>0</v>
      </c>
      <c r="H40" s="15">
        <v>0</v>
      </c>
      <c r="I40" s="15">
        <v>0</v>
      </c>
      <c r="J40" s="15">
        <v>0</v>
      </c>
      <c r="K40" s="15">
        <v>0</v>
      </c>
      <c r="L40" s="15">
        <v>0</v>
      </c>
      <c r="M40" s="15">
        <v>0</v>
      </c>
      <c r="N40" s="167">
        <v>0</v>
      </c>
      <c r="O40" s="15">
        <v>0</v>
      </c>
      <c r="P40" s="15"/>
      <c r="Q40" s="1"/>
      <c r="R40" s="1"/>
      <c r="S40" s="1"/>
      <c r="T40" s="1"/>
      <c r="U40" s="1"/>
      <c r="V40" s="1"/>
      <c r="W40"/>
      <c r="X40"/>
      <c r="Y40"/>
      <c r="Z40"/>
      <c r="AA40"/>
      <c r="AB40"/>
      <c r="AC40"/>
      <c r="AD40"/>
      <c r="AE40"/>
      <c r="AF40"/>
      <c r="AG40"/>
      <c r="AH40"/>
      <c r="AI40"/>
      <c r="AJ40"/>
      <c r="AK40"/>
      <c r="AL40"/>
      <c r="AM40"/>
      <c r="AN40"/>
      <c r="AO40"/>
      <c r="AP40"/>
      <c r="AQ40"/>
      <c r="AR40"/>
      <c r="AS40"/>
      <c r="AT40"/>
    </row>
    <row r="41" spans="1:46">
      <c r="A41" s="48" t="s">
        <v>601</v>
      </c>
      <c r="B41" s="8" t="s">
        <v>87</v>
      </c>
      <c r="C41" s="15">
        <v>984.7</v>
      </c>
      <c r="D41" s="15">
        <v>1034.51</v>
      </c>
      <c r="E41" s="15">
        <v>1000</v>
      </c>
      <c r="F41" s="15">
        <v>1354.17</v>
      </c>
      <c r="G41" s="15">
        <f>90.32*12</f>
        <v>1083.8399999999999</v>
      </c>
      <c r="H41" s="15">
        <v>1164.3800000000001</v>
      </c>
      <c r="I41" s="15">
        <v>346.32</v>
      </c>
      <c r="J41" s="15">
        <v>-80.569999999999993</v>
      </c>
      <c r="K41" s="15">
        <v>346.32</v>
      </c>
      <c r="L41" s="15">
        <v>0</v>
      </c>
      <c r="M41" s="15">
        <v>346.32</v>
      </c>
      <c r="N41" s="167">
        <v>0</v>
      </c>
      <c r="O41" s="15">
        <v>350</v>
      </c>
      <c r="P41" s="15">
        <v>311.27</v>
      </c>
      <c r="Q41" s="1"/>
      <c r="R41" s="1"/>
      <c r="S41" s="1"/>
      <c r="T41" s="1"/>
      <c r="U41" s="1"/>
      <c r="V41" s="1"/>
      <c r="W41"/>
      <c r="X41"/>
      <c r="Y41"/>
      <c r="Z41"/>
      <c r="AA41"/>
      <c r="AB41"/>
      <c r="AC41"/>
      <c r="AD41"/>
      <c r="AE41"/>
      <c r="AF41"/>
      <c r="AG41"/>
      <c r="AH41"/>
      <c r="AI41"/>
      <c r="AJ41"/>
      <c r="AK41"/>
      <c r="AL41"/>
      <c r="AM41"/>
      <c r="AN41"/>
      <c r="AO41"/>
      <c r="AP41"/>
      <c r="AQ41"/>
      <c r="AR41"/>
      <c r="AS41"/>
      <c r="AT41"/>
    </row>
    <row r="42" spans="1:46">
      <c r="A42" s="48" t="s">
        <v>602</v>
      </c>
      <c r="B42" s="8" t="s">
        <v>580</v>
      </c>
      <c r="C42" s="15">
        <v>45000</v>
      </c>
      <c r="D42" s="15">
        <v>44354.74</v>
      </c>
      <c r="E42" s="15">
        <v>55000</v>
      </c>
      <c r="F42" s="15">
        <v>60193.77</v>
      </c>
      <c r="G42" s="15">
        <v>55000</v>
      </c>
      <c r="H42" s="15">
        <v>53067.85</v>
      </c>
      <c r="I42" s="15">
        <v>7500</v>
      </c>
      <c r="J42" s="15">
        <v>5247.97</v>
      </c>
      <c r="K42" s="15">
        <v>10750</v>
      </c>
      <c r="L42" s="15">
        <v>19509.61</v>
      </c>
      <c r="M42" s="15">
        <v>10750</v>
      </c>
      <c r="N42" s="149">
        <v>13216.97</v>
      </c>
      <c r="O42" s="15">
        <v>5500</v>
      </c>
      <c r="P42" s="15">
        <v>5108</v>
      </c>
      <c r="Q42" s="1">
        <v>5500</v>
      </c>
      <c r="R42" s="1">
        <v>11379.48</v>
      </c>
      <c r="S42" s="1">
        <v>5500</v>
      </c>
      <c r="T42" s="1"/>
      <c r="U42" s="1">
        <v>5500</v>
      </c>
      <c r="V42" s="1"/>
      <c r="W42"/>
      <c r="X42"/>
      <c r="Y42"/>
      <c r="Z42"/>
      <c r="AA42"/>
      <c r="AB42"/>
      <c r="AC42"/>
      <c r="AD42"/>
      <c r="AE42"/>
      <c r="AF42"/>
      <c r="AG42"/>
      <c r="AH42"/>
      <c r="AI42"/>
      <c r="AJ42"/>
      <c r="AK42"/>
      <c r="AL42"/>
      <c r="AM42"/>
      <c r="AN42"/>
      <c r="AO42"/>
      <c r="AP42"/>
      <c r="AQ42"/>
      <c r="AR42"/>
      <c r="AS42"/>
      <c r="AT42"/>
    </row>
    <row r="43" spans="1:46">
      <c r="A43" s="48" t="s">
        <v>603</v>
      </c>
      <c r="B43" s="8" t="s">
        <v>89</v>
      </c>
      <c r="C43" s="15">
        <v>41000</v>
      </c>
      <c r="D43" s="15">
        <v>57271.78</v>
      </c>
      <c r="E43" s="15">
        <v>45500</v>
      </c>
      <c r="F43" s="15">
        <v>43234.87</v>
      </c>
      <c r="G43" s="15">
        <v>39250</v>
      </c>
      <c r="H43" s="15">
        <v>9451.9699999999993</v>
      </c>
      <c r="I43" s="15"/>
      <c r="J43" s="15">
        <v>22.68</v>
      </c>
      <c r="K43" s="15"/>
      <c r="L43" s="15">
        <v>5199.4799999999996</v>
      </c>
      <c r="M43" s="15"/>
      <c r="N43" s="149">
        <v>19768.87</v>
      </c>
      <c r="O43" s="15">
        <v>20000</v>
      </c>
      <c r="P43" s="15">
        <v>19098.669999999998</v>
      </c>
      <c r="Q43" s="1">
        <v>20000</v>
      </c>
      <c r="R43" s="1">
        <v>12746.04</v>
      </c>
      <c r="S43" s="1">
        <v>14025</v>
      </c>
      <c r="T43" s="1">
        <v>12268.54</v>
      </c>
      <c r="U43" s="1">
        <v>6100</v>
      </c>
      <c r="V43" s="1"/>
      <c r="W43"/>
      <c r="X43"/>
      <c r="Y43"/>
      <c r="Z43"/>
      <c r="AA43"/>
      <c r="AB43"/>
      <c r="AC43"/>
      <c r="AD43"/>
      <c r="AE43"/>
      <c r="AF43"/>
      <c r="AG43"/>
      <c r="AH43"/>
      <c r="AI43"/>
      <c r="AJ43"/>
      <c r="AK43"/>
      <c r="AL43"/>
      <c r="AM43"/>
      <c r="AN43"/>
      <c r="AO43"/>
      <c r="AP43"/>
      <c r="AQ43"/>
      <c r="AR43"/>
      <c r="AS43"/>
      <c r="AT43"/>
    </row>
    <row r="44" spans="1:46" hidden="1">
      <c r="A44" s="48" t="s">
        <v>604</v>
      </c>
      <c r="B44" s="67" t="s">
        <v>251</v>
      </c>
      <c r="C44" s="20">
        <v>0</v>
      </c>
      <c r="D44" s="20">
        <v>0</v>
      </c>
      <c r="E44" s="20">
        <v>0</v>
      </c>
      <c r="F44" s="20">
        <v>0</v>
      </c>
      <c r="G44" s="20">
        <v>0</v>
      </c>
      <c r="H44" s="20">
        <v>0</v>
      </c>
      <c r="I44" s="20">
        <v>750</v>
      </c>
      <c r="J44" s="20">
        <v>0</v>
      </c>
      <c r="K44" s="20">
        <v>250</v>
      </c>
      <c r="L44" s="20">
        <v>0</v>
      </c>
      <c r="M44" s="20">
        <v>250</v>
      </c>
      <c r="N44" s="167">
        <v>0</v>
      </c>
      <c r="O44" s="15">
        <v>0</v>
      </c>
      <c r="P44" s="15"/>
      <c r="Q44" s="1"/>
      <c r="R44" s="1"/>
      <c r="S44" s="1"/>
      <c r="T44" s="1"/>
      <c r="U44" s="1"/>
      <c r="V44" s="1"/>
      <c r="W44"/>
      <c r="X44"/>
      <c r="Y44"/>
      <c r="Z44"/>
      <c r="AA44"/>
      <c r="AB44"/>
      <c r="AC44"/>
      <c r="AD44"/>
      <c r="AE44"/>
      <c r="AF44"/>
      <c r="AG44"/>
      <c r="AH44"/>
      <c r="AI44"/>
      <c r="AJ44"/>
      <c r="AK44"/>
      <c r="AL44"/>
      <c r="AM44"/>
      <c r="AN44"/>
      <c r="AO44"/>
      <c r="AP44"/>
      <c r="AQ44"/>
      <c r="AR44"/>
      <c r="AS44"/>
      <c r="AT44"/>
    </row>
    <row r="45" spans="1:46" hidden="1">
      <c r="A45" s="48" t="s">
        <v>604</v>
      </c>
      <c r="B45" s="67" t="s">
        <v>573</v>
      </c>
      <c r="C45" s="15">
        <v>0</v>
      </c>
      <c r="D45" s="15">
        <v>0</v>
      </c>
      <c r="E45" s="15">
        <v>0</v>
      </c>
      <c r="F45" s="15">
        <v>0</v>
      </c>
      <c r="G45" s="15">
        <v>0</v>
      </c>
      <c r="H45" s="15">
        <v>0</v>
      </c>
      <c r="I45" s="15">
        <v>100</v>
      </c>
      <c r="J45" s="20">
        <v>0</v>
      </c>
      <c r="K45" s="15">
        <v>200</v>
      </c>
      <c r="L45" s="15">
        <v>0</v>
      </c>
      <c r="M45" s="15">
        <v>0</v>
      </c>
      <c r="N45" s="167">
        <v>0</v>
      </c>
      <c r="O45" s="15">
        <v>0</v>
      </c>
      <c r="P45" s="15"/>
      <c r="Q45" s="1"/>
      <c r="R45" s="1"/>
      <c r="S45" s="1"/>
      <c r="T45" s="1"/>
      <c r="U45" s="1"/>
      <c r="V45" s="1"/>
      <c r="W45"/>
      <c r="X45"/>
      <c r="Y45"/>
      <c r="Z45"/>
      <c r="AA45"/>
      <c r="AB45"/>
      <c r="AC45"/>
      <c r="AD45"/>
      <c r="AE45"/>
      <c r="AF45"/>
      <c r="AG45"/>
      <c r="AH45"/>
      <c r="AI45"/>
      <c r="AJ45"/>
      <c r="AK45"/>
      <c r="AL45"/>
      <c r="AM45"/>
      <c r="AN45"/>
      <c r="AO45"/>
      <c r="AP45"/>
      <c r="AQ45"/>
      <c r="AR45"/>
      <c r="AS45"/>
      <c r="AT45"/>
    </row>
    <row r="46" spans="1:46" hidden="1">
      <c r="A46" s="48" t="s">
        <v>604</v>
      </c>
      <c r="B46" s="67" t="s">
        <v>605</v>
      </c>
      <c r="C46" s="15">
        <v>0</v>
      </c>
      <c r="D46" s="15">
        <v>0</v>
      </c>
      <c r="E46" s="15">
        <v>0</v>
      </c>
      <c r="F46" s="15">
        <v>0</v>
      </c>
      <c r="G46" s="15">
        <v>0</v>
      </c>
      <c r="H46" s="15">
        <v>0</v>
      </c>
      <c r="I46" s="15">
        <v>1000</v>
      </c>
      <c r="J46" s="20">
        <v>0</v>
      </c>
      <c r="K46" s="15"/>
      <c r="L46" s="20">
        <v>0</v>
      </c>
      <c r="M46" s="15"/>
      <c r="N46" s="167">
        <v>0</v>
      </c>
      <c r="O46" s="15">
        <v>0</v>
      </c>
      <c r="P46" s="15"/>
      <c r="Q46" s="1"/>
      <c r="R46" s="1"/>
      <c r="S46" s="1"/>
      <c r="T46" s="1"/>
      <c r="U46" s="1"/>
      <c r="V46" s="1"/>
      <c r="W46"/>
      <c r="X46"/>
      <c r="Y46"/>
      <c r="Z46"/>
      <c r="AA46"/>
      <c r="AB46"/>
      <c r="AC46"/>
      <c r="AD46"/>
      <c r="AE46"/>
      <c r="AF46"/>
      <c r="AG46"/>
      <c r="AH46"/>
      <c r="AI46"/>
      <c r="AJ46"/>
      <c r="AK46"/>
      <c r="AL46"/>
      <c r="AM46"/>
      <c r="AN46"/>
      <c r="AO46"/>
      <c r="AP46"/>
      <c r="AQ46"/>
      <c r="AR46"/>
      <c r="AS46"/>
      <c r="AT46"/>
    </row>
    <row r="47" spans="1:46" hidden="1">
      <c r="A47" s="48" t="s">
        <v>604</v>
      </c>
      <c r="B47" s="67" t="s">
        <v>606</v>
      </c>
      <c r="C47" s="15">
        <v>0</v>
      </c>
      <c r="D47" s="15">
        <v>0</v>
      </c>
      <c r="E47" s="15">
        <v>0</v>
      </c>
      <c r="F47" s="15">
        <v>0</v>
      </c>
      <c r="G47" s="15">
        <v>0</v>
      </c>
      <c r="H47" s="15">
        <v>0</v>
      </c>
      <c r="I47" s="15">
        <v>250</v>
      </c>
      <c r="J47" s="20">
        <v>0</v>
      </c>
      <c r="K47" s="15">
        <v>250</v>
      </c>
      <c r="L47" s="15">
        <v>0</v>
      </c>
      <c r="M47" s="15">
        <v>0</v>
      </c>
      <c r="N47" s="167">
        <v>0</v>
      </c>
      <c r="O47" s="15">
        <v>0</v>
      </c>
      <c r="P47" s="15"/>
      <c r="Q47" s="1"/>
      <c r="R47" s="1"/>
      <c r="S47" s="1"/>
      <c r="T47" s="1"/>
      <c r="U47" s="1"/>
      <c r="V47" s="1"/>
      <c r="W47"/>
      <c r="X47"/>
      <c r="Y47"/>
      <c r="Z47"/>
      <c r="AA47"/>
      <c r="AB47"/>
      <c r="AC47"/>
      <c r="AD47"/>
      <c r="AE47"/>
      <c r="AF47"/>
      <c r="AG47"/>
      <c r="AH47"/>
      <c r="AI47"/>
      <c r="AJ47"/>
      <c r="AK47"/>
      <c r="AL47"/>
      <c r="AM47"/>
      <c r="AN47"/>
      <c r="AO47"/>
      <c r="AP47"/>
      <c r="AQ47"/>
      <c r="AR47"/>
      <c r="AS47"/>
      <c r="AT47"/>
    </row>
    <row r="48" spans="1:46" hidden="1">
      <c r="A48" s="48" t="s">
        <v>604</v>
      </c>
      <c r="B48" s="67" t="s">
        <v>586</v>
      </c>
      <c r="C48" s="15">
        <v>0</v>
      </c>
      <c r="D48" s="15">
        <v>0</v>
      </c>
      <c r="E48" s="15">
        <v>0</v>
      </c>
      <c r="F48" s="15">
        <v>0</v>
      </c>
      <c r="G48" s="15">
        <v>0</v>
      </c>
      <c r="H48" s="15">
        <v>0</v>
      </c>
      <c r="I48" s="15">
        <v>1000</v>
      </c>
      <c r="J48" s="20">
        <v>0</v>
      </c>
      <c r="K48" s="15">
        <v>800</v>
      </c>
      <c r="L48" s="20">
        <v>0</v>
      </c>
      <c r="M48" s="15">
        <v>800</v>
      </c>
      <c r="N48" s="167">
        <v>0</v>
      </c>
      <c r="O48" s="15">
        <v>0</v>
      </c>
      <c r="P48" s="15"/>
      <c r="Q48" s="1"/>
      <c r="R48" s="1"/>
      <c r="S48" s="1"/>
      <c r="T48" s="1"/>
      <c r="U48" s="1"/>
      <c r="V48" s="1"/>
      <c r="W48"/>
      <c r="X48"/>
      <c r="Y48"/>
      <c r="Z48"/>
      <c r="AA48"/>
      <c r="AB48"/>
      <c r="AC48"/>
      <c r="AD48"/>
      <c r="AE48"/>
      <c r="AF48"/>
      <c r="AG48"/>
      <c r="AH48"/>
      <c r="AI48"/>
      <c r="AJ48"/>
      <c r="AK48"/>
      <c r="AL48"/>
      <c r="AM48"/>
      <c r="AN48"/>
      <c r="AO48"/>
      <c r="AP48"/>
      <c r="AQ48"/>
      <c r="AR48"/>
      <c r="AS48"/>
      <c r="AT48"/>
    </row>
    <row r="49" spans="1:46" hidden="1">
      <c r="A49" s="48" t="s">
        <v>604</v>
      </c>
      <c r="B49" s="67" t="s">
        <v>607</v>
      </c>
      <c r="C49" s="15">
        <v>0</v>
      </c>
      <c r="D49" s="15">
        <v>0</v>
      </c>
      <c r="E49" s="15">
        <v>0</v>
      </c>
      <c r="F49" s="15">
        <v>0</v>
      </c>
      <c r="G49" s="15">
        <v>0</v>
      </c>
      <c r="H49" s="15">
        <v>0</v>
      </c>
      <c r="I49" s="15">
        <v>500</v>
      </c>
      <c r="J49" s="20">
        <v>0</v>
      </c>
      <c r="K49" s="15">
        <v>500</v>
      </c>
      <c r="L49" s="15">
        <v>0</v>
      </c>
      <c r="M49" s="15">
        <v>300</v>
      </c>
      <c r="N49" s="167">
        <v>0</v>
      </c>
      <c r="O49" s="15">
        <v>0</v>
      </c>
      <c r="P49" s="15"/>
      <c r="Q49" s="1"/>
      <c r="R49" s="1"/>
      <c r="S49" s="1"/>
      <c r="T49" s="1"/>
      <c r="U49" s="1"/>
      <c r="V49" s="1"/>
      <c r="W49"/>
      <c r="X49"/>
      <c r="Y49"/>
      <c r="Z49"/>
      <c r="AA49"/>
      <c r="AB49"/>
      <c r="AC49"/>
      <c r="AD49"/>
      <c r="AE49"/>
      <c r="AF49"/>
      <c r="AG49"/>
      <c r="AH49"/>
      <c r="AI49"/>
      <c r="AJ49"/>
      <c r="AK49"/>
      <c r="AL49"/>
      <c r="AM49"/>
      <c r="AN49"/>
      <c r="AO49"/>
      <c r="AP49"/>
      <c r="AQ49"/>
      <c r="AR49"/>
      <c r="AS49"/>
      <c r="AT49"/>
    </row>
    <row r="50" spans="1:46" hidden="1">
      <c r="A50" s="48" t="s">
        <v>604</v>
      </c>
      <c r="B50" s="67" t="s">
        <v>608</v>
      </c>
      <c r="C50" s="15">
        <v>0</v>
      </c>
      <c r="D50" s="15">
        <v>0</v>
      </c>
      <c r="E50" s="15">
        <v>0</v>
      </c>
      <c r="F50" s="15">
        <v>0</v>
      </c>
      <c r="G50" s="15">
        <v>0</v>
      </c>
      <c r="H50" s="15">
        <v>0</v>
      </c>
      <c r="I50" s="15">
        <v>1000</v>
      </c>
      <c r="J50" s="20">
        <v>0</v>
      </c>
      <c r="K50" s="15">
        <v>0</v>
      </c>
      <c r="L50" s="20">
        <v>0</v>
      </c>
      <c r="M50" s="15">
        <v>0</v>
      </c>
      <c r="N50" s="167">
        <v>0</v>
      </c>
      <c r="O50" s="15">
        <v>0</v>
      </c>
      <c r="P50" s="15"/>
      <c r="Q50" s="1"/>
      <c r="R50" s="1"/>
      <c r="S50" s="1"/>
      <c r="T50" s="1"/>
      <c r="U50" s="1"/>
      <c r="V50" s="1"/>
      <c r="W50"/>
      <c r="X50"/>
      <c r="Y50"/>
      <c r="Z50"/>
      <c r="AA50"/>
      <c r="AB50"/>
      <c r="AC50"/>
      <c r="AD50"/>
      <c r="AE50"/>
      <c r="AF50"/>
      <c r="AG50"/>
      <c r="AH50"/>
      <c r="AI50"/>
      <c r="AJ50"/>
      <c r="AK50"/>
      <c r="AL50"/>
      <c r="AM50"/>
      <c r="AN50"/>
      <c r="AO50"/>
      <c r="AP50"/>
      <c r="AQ50"/>
      <c r="AR50"/>
      <c r="AS50"/>
      <c r="AT50"/>
    </row>
    <row r="51" spans="1:46" hidden="1">
      <c r="A51" s="48" t="s">
        <v>604</v>
      </c>
      <c r="B51" s="67" t="s">
        <v>609</v>
      </c>
      <c r="C51" s="15">
        <v>0</v>
      </c>
      <c r="D51" s="15">
        <v>0</v>
      </c>
      <c r="E51" s="15">
        <v>0</v>
      </c>
      <c r="F51" s="15">
        <v>0</v>
      </c>
      <c r="G51" s="15">
        <v>0</v>
      </c>
      <c r="H51" s="15">
        <v>0</v>
      </c>
      <c r="I51" s="15">
        <v>700</v>
      </c>
      <c r="J51" s="20">
        <v>0</v>
      </c>
      <c r="K51" s="15">
        <v>0</v>
      </c>
      <c r="L51" s="15">
        <v>0</v>
      </c>
      <c r="M51" s="15">
        <v>0</v>
      </c>
      <c r="N51" s="167">
        <v>0</v>
      </c>
      <c r="O51" s="15">
        <v>0</v>
      </c>
      <c r="P51" s="15"/>
      <c r="Q51" s="1"/>
      <c r="R51" s="1"/>
      <c r="S51" s="1"/>
      <c r="T51" s="1"/>
      <c r="U51" s="1"/>
      <c r="V51" s="1"/>
      <c r="W51"/>
      <c r="X51"/>
      <c r="Y51"/>
      <c r="Z51"/>
      <c r="AA51"/>
      <c r="AB51"/>
      <c r="AC51"/>
      <c r="AD51"/>
      <c r="AE51"/>
      <c r="AF51"/>
      <c r="AG51"/>
      <c r="AH51"/>
      <c r="AI51"/>
      <c r="AJ51"/>
      <c r="AK51"/>
      <c r="AL51"/>
      <c r="AM51"/>
      <c r="AN51"/>
      <c r="AO51"/>
      <c r="AP51"/>
      <c r="AQ51"/>
      <c r="AR51"/>
      <c r="AS51"/>
      <c r="AT51"/>
    </row>
    <row r="52" spans="1:46" hidden="1">
      <c r="A52" s="48" t="s">
        <v>604</v>
      </c>
      <c r="B52" s="67" t="s">
        <v>610</v>
      </c>
      <c r="C52" s="15">
        <v>0</v>
      </c>
      <c r="D52" s="15">
        <v>0</v>
      </c>
      <c r="E52" s="15">
        <v>0</v>
      </c>
      <c r="F52" s="15">
        <v>0</v>
      </c>
      <c r="G52" s="15">
        <v>0</v>
      </c>
      <c r="H52" s="15">
        <v>0</v>
      </c>
      <c r="I52" s="15">
        <v>1000</v>
      </c>
      <c r="J52" s="20">
        <v>0</v>
      </c>
      <c r="K52" s="15">
        <v>800</v>
      </c>
      <c r="L52" s="20">
        <v>0</v>
      </c>
      <c r="M52" s="15">
        <v>0</v>
      </c>
      <c r="N52" s="167">
        <v>0</v>
      </c>
      <c r="O52" s="15">
        <v>0</v>
      </c>
      <c r="P52" s="15"/>
      <c r="Q52" s="15"/>
      <c r="R52" s="15"/>
      <c r="S52" s="15"/>
      <c r="T52" s="15"/>
      <c r="U52" s="15"/>
      <c r="V52" s="15"/>
    </row>
    <row r="53" spans="1:46" hidden="1">
      <c r="A53" s="48" t="s">
        <v>604</v>
      </c>
      <c r="B53" s="67" t="s">
        <v>611</v>
      </c>
      <c r="C53" s="15">
        <v>0</v>
      </c>
      <c r="D53" s="15">
        <v>0</v>
      </c>
      <c r="E53" s="15">
        <v>0</v>
      </c>
      <c r="F53" s="15">
        <v>0</v>
      </c>
      <c r="G53" s="15">
        <v>0</v>
      </c>
      <c r="H53" s="15">
        <v>0</v>
      </c>
      <c r="I53" s="15">
        <v>2750</v>
      </c>
      <c r="J53" s="20">
        <v>0</v>
      </c>
      <c r="K53" s="15">
        <v>3500</v>
      </c>
      <c r="L53" s="15">
        <v>0</v>
      </c>
      <c r="M53" s="15">
        <v>0</v>
      </c>
      <c r="N53" s="167">
        <v>0</v>
      </c>
      <c r="O53" s="15">
        <v>0</v>
      </c>
      <c r="P53" s="15"/>
      <c r="Q53" s="15"/>
      <c r="R53" s="15"/>
      <c r="S53" s="15"/>
      <c r="T53" s="15"/>
      <c r="U53" s="15"/>
      <c r="V53" s="15"/>
    </row>
    <row r="54" spans="1:46" hidden="1">
      <c r="A54" s="48" t="s">
        <v>604</v>
      </c>
      <c r="B54" s="67" t="s">
        <v>612</v>
      </c>
      <c r="C54" s="15">
        <v>0</v>
      </c>
      <c r="D54" s="15">
        <v>0</v>
      </c>
      <c r="E54" s="15">
        <v>0</v>
      </c>
      <c r="F54" s="15">
        <v>0</v>
      </c>
      <c r="G54" s="15">
        <v>0</v>
      </c>
      <c r="H54" s="15">
        <v>0</v>
      </c>
      <c r="I54" s="15">
        <v>3000</v>
      </c>
      <c r="J54" s="20">
        <v>0</v>
      </c>
      <c r="K54" s="15"/>
      <c r="L54" s="20">
        <v>0</v>
      </c>
      <c r="M54" s="15"/>
      <c r="N54" s="167">
        <v>0</v>
      </c>
      <c r="O54" s="15">
        <v>0</v>
      </c>
      <c r="P54" s="15"/>
      <c r="Q54" s="15"/>
      <c r="R54" s="15"/>
      <c r="S54" s="15"/>
      <c r="T54" s="15"/>
      <c r="U54" s="15"/>
      <c r="V54" s="15"/>
    </row>
    <row r="55" spans="1:46" hidden="1">
      <c r="A55" s="48" t="s">
        <v>604</v>
      </c>
      <c r="B55" s="67" t="s">
        <v>613</v>
      </c>
      <c r="C55" s="15">
        <v>0</v>
      </c>
      <c r="D55" s="15">
        <v>0</v>
      </c>
      <c r="E55" s="15">
        <v>0</v>
      </c>
      <c r="F55" s="15">
        <v>0</v>
      </c>
      <c r="G55" s="15">
        <v>0</v>
      </c>
      <c r="H55" s="15">
        <v>0</v>
      </c>
      <c r="I55" s="15">
        <v>2500</v>
      </c>
      <c r="J55" s="20">
        <v>0</v>
      </c>
      <c r="K55" s="15"/>
      <c r="L55" s="15">
        <v>0</v>
      </c>
      <c r="M55" s="15">
        <v>0</v>
      </c>
      <c r="N55" s="167">
        <v>0</v>
      </c>
      <c r="O55" s="15">
        <v>0</v>
      </c>
      <c r="P55" s="15"/>
      <c r="Q55" s="15"/>
      <c r="R55" s="15"/>
      <c r="S55" s="15"/>
      <c r="T55" s="15"/>
      <c r="U55" s="15"/>
      <c r="V55" s="15"/>
    </row>
    <row r="56" spans="1:46" hidden="1">
      <c r="A56" s="48" t="s">
        <v>604</v>
      </c>
      <c r="B56" s="67" t="s">
        <v>614</v>
      </c>
      <c r="C56" s="15">
        <v>0</v>
      </c>
      <c r="D56" s="15">
        <v>0</v>
      </c>
      <c r="E56" s="15">
        <v>0</v>
      </c>
      <c r="F56" s="15">
        <v>0</v>
      </c>
      <c r="G56" s="15">
        <v>0</v>
      </c>
      <c r="H56" s="15">
        <v>0</v>
      </c>
      <c r="I56" s="15">
        <v>1500</v>
      </c>
      <c r="J56" s="20">
        <v>0</v>
      </c>
      <c r="K56" s="15">
        <v>1500</v>
      </c>
      <c r="L56" s="20">
        <v>0</v>
      </c>
      <c r="M56" s="15">
        <v>0</v>
      </c>
      <c r="N56" s="167">
        <v>0</v>
      </c>
      <c r="O56" s="15">
        <v>0</v>
      </c>
      <c r="P56" s="15"/>
      <c r="Q56" s="15"/>
      <c r="R56" s="15"/>
      <c r="S56" s="15"/>
      <c r="T56" s="15"/>
      <c r="U56" s="15"/>
      <c r="V56" s="15"/>
    </row>
    <row r="57" spans="1:46" hidden="1">
      <c r="A57" s="48" t="s">
        <v>604</v>
      </c>
      <c r="B57" s="67" t="s">
        <v>615</v>
      </c>
      <c r="C57" s="15">
        <v>0</v>
      </c>
      <c r="D57" s="15">
        <v>0</v>
      </c>
      <c r="E57" s="15">
        <v>0</v>
      </c>
      <c r="F57" s="15">
        <v>0</v>
      </c>
      <c r="G57" s="15">
        <v>0</v>
      </c>
      <c r="H57" s="15">
        <v>0</v>
      </c>
      <c r="I57" s="15">
        <v>450</v>
      </c>
      <c r="J57" s="20">
        <v>0</v>
      </c>
      <c r="K57" s="15">
        <v>0</v>
      </c>
      <c r="L57" s="15">
        <v>0</v>
      </c>
      <c r="M57" s="15">
        <v>0</v>
      </c>
      <c r="N57" s="167">
        <v>0</v>
      </c>
      <c r="O57" s="15">
        <v>0</v>
      </c>
      <c r="P57" s="15"/>
      <c r="Q57" s="15"/>
      <c r="R57" s="15"/>
      <c r="S57" s="15"/>
      <c r="T57" s="15"/>
      <c r="U57" s="15"/>
      <c r="V57" s="15"/>
    </row>
    <row r="58" spans="1:46" hidden="1">
      <c r="A58" s="48" t="s">
        <v>604</v>
      </c>
      <c r="B58" s="67" t="s">
        <v>616</v>
      </c>
      <c r="C58" s="15">
        <v>0</v>
      </c>
      <c r="D58" s="15">
        <v>0</v>
      </c>
      <c r="E58" s="15">
        <v>0</v>
      </c>
      <c r="F58" s="15">
        <v>0</v>
      </c>
      <c r="G58" s="15">
        <v>0</v>
      </c>
      <c r="H58" s="15">
        <v>0</v>
      </c>
      <c r="I58" s="15">
        <v>1500</v>
      </c>
      <c r="J58" s="20">
        <v>0</v>
      </c>
      <c r="K58" s="15">
        <v>2000</v>
      </c>
      <c r="L58" s="20">
        <v>0</v>
      </c>
      <c r="M58" s="15">
        <v>1000</v>
      </c>
      <c r="N58" s="167">
        <v>0</v>
      </c>
      <c r="O58" s="15">
        <v>0</v>
      </c>
      <c r="P58" s="15"/>
      <c r="Q58" s="15"/>
      <c r="R58" s="15"/>
      <c r="S58" s="15"/>
      <c r="T58" s="15"/>
      <c r="U58" s="15"/>
      <c r="V58" s="15"/>
    </row>
    <row r="59" spans="1:46" hidden="1">
      <c r="A59" s="48" t="s">
        <v>604</v>
      </c>
      <c r="B59" s="67" t="s">
        <v>617</v>
      </c>
      <c r="C59" s="15">
        <v>0</v>
      </c>
      <c r="D59" s="15">
        <v>0</v>
      </c>
      <c r="E59" s="15">
        <v>0</v>
      </c>
      <c r="F59" s="15">
        <v>0</v>
      </c>
      <c r="G59" s="15">
        <v>0</v>
      </c>
      <c r="H59" s="15">
        <v>0</v>
      </c>
      <c r="I59" s="15">
        <v>6000</v>
      </c>
      <c r="J59" s="20">
        <v>0</v>
      </c>
      <c r="K59" s="15">
        <v>7000</v>
      </c>
      <c r="L59" s="15">
        <v>10451.709999999999</v>
      </c>
      <c r="M59" s="15">
        <v>7000</v>
      </c>
      <c r="N59" s="149">
        <v>25.64</v>
      </c>
      <c r="O59" s="15">
        <v>0</v>
      </c>
      <c r="P59" s="15"/>
      <c r="Q59" s="15"/>
      <c r="R59" s="15"/>
      <c r="S59" s="15"/>
      <c r="T59" s="15"/>
      <c r="U59" s="15"/>
      <c r="V59" s="15"/>
    </row>
    <row r="60" spans="1:46" hidden="1">
      <c r="A60" s="48" t="s">
        <v>618</v>
      </c>
      <c r="B60" s="67" t="s">
        <v>619</v>
      </c>
      <c r="C60" s="15">
        <v>0</v>
      </c>
      <c r="D60" s="15">
        <v>0</v>
      </c>
      <c r="E60" s="15">
        <v>0</v>
      </c>
      <c r="F60" s="15">
        <v>0</v>
      </c>
      <c r="G60" s="15">
        <v>0</v>
      </c>
      <c r="H60" s="15">
        <v>0</v>
      </c>
      <c r="I60" s="15">
        <v>6000</v>
      </c>
      <c r="J60" s="20">
        <v>0</v>
      </c>
      <c r="K60" s="15"/>
      <c r="L60" s="15"/>
      <c r="M60" s="15"/>
      <c r="N60" s="167">
        <v>0</v>
      </c>
      <c r="O60" s="15">
        <v>0</v>
      </c>
      <c r="P60" s="15"/>
      <c r="Q60" s="15"/>
      <c r="R60" s="15"/>
      <c r="S60" s="15"/>
      <c r="T60" s="15"/>
      <c r="U60" s="15"/>
      <c r="V60" s="15"/>
    </row>
    <row r="61" spans="1:46">
      <c r="A61" s="48" t="s">
        <v>603</v>
      </c>
      <c r="B61" s="342" t="s">
        <v>128</v>
      </c>
      <c r="C61" s="389"/>
      <c r="D61" s="389"/>
      <c r="E61" s="389"/>
      <c r="F61" s="389"/>
      <c r="G61" s="389"/>
      <c r="H61" s="389"/>
      <c r="I61" s="389"/>
      <c r="J61" s="389"/>
      <c r="K61" s="389"/>
      <c r="L61" s="389"/>
      <c r="M61" s="389"/>
      <c r="N61" s="389"/>
      <c r="O61" s="389"/>
      <c r="P61" s="389"/>
      <c r="Q61" s="389"/>
      <c r="R61" s="389"/>
      <c r="S61" s="389"/>
      <c r="T61" s="389"/>
      <c r="U61" s="389">
        <v>2000</v>
      </c>
      <c r="V61" s="15"/>
    </row>
    <row r="62" spans="1:46">
      <c r="A62" s="48" t="s">
        <v>620</v>
      </c>
      <c r="B62" s="8" t="s">
        <v>621</v>
      </c>
      <c r="C62" s="15">
        <v>0</v>
      </c>
      <c r="D62" s="15">
        <v>0</v>
      </c>
      <c r="E62" s="15">
        <v>0</v>
      </c>
      <c r="F62" s="15">
        <v>0</v>
      </c>
      <c r="G62" s="15">
        <v>0</v>
      </c>
      <c r="H62" s="15">
        <v>0</v>
      </c>
      <c r="I62" s="15">
        <v>58903.839999999997</v>
      </c>
      <c r="J62" s="15">
        <v>60766.17</v>
      </c>
      <c r="K62" s="15">
        <v>65000</v>
      </c>
      <c r="L62" s="15">
        <v>103429.95</v>
      </c>
      <c r="M62" s="15">
        <v>105000</v>
      </c>
      <c r="N62" s="149">
        <v>88073.55</v>
      </c>
      <c r="O62" s="15">
        <v>68700</v>
      </c>
      <c r="P62" s="15">
        <v>66786.039999999994</v>
      </c>
      <c r="Q62" s="15">
        <v>68700</v>
      </c>
      <c r="R62" s="15">
        <v>64144.55</v>
      </c>
      <c r="S62" s="15">
        <v>66000</v>
      </c>
      <c r="T62" s="15">
        <f>78101.14-T63-T67</f>
        <v>62901.14</v>
      </c>
      <c r="U62" s="15">
        <v>58000</v>
      </c>
      <c r="V62" s="15"/>
    </row>
    <row r="63" spans="1:46">
      <c r="A63" s="48" t="s">
        <v>602</v>
      </c>
      <c r="B63" s="8" t="s">
        <v>622</v>
      </c>
      <c r="C63" s="15">
        <v>0</v>
      </c>
      <c r="D63" s="15">
        <v>0</v>
      </c>
      <c r="E63" s="15">
        <v>0</v>
      </c>
      <c r="F63" s="15">
        <v>0</v>
      </c>
      <c r="G63" s="15">
        <v>0</v>
      </c>
      <c r="H63" s="15">
        <v>20990.58</v>
      </c>
      <c r="I63" s="15">
        <v>20000</v>
      </c>
      <c r="J63" s="15">
        <v>20144.25</v>
      </c>
      <c r="K63" s="15">
        <v>17000</v>
      </c>
      <c r="L63" s="15">
        <v>21228.42</v>
      </c>
      <c r="M63" s="15">
        <v>17000</v>
      </c>
      <c r="N63" s="149">
        <v>13164.09</v>
      </c>
      <c r="O63" s="15">
        <v>16000</v>
      </c>
      <c r="P63" s="15">
        <v>15276.09</v>
      </c>
      <c r="Q63" s="15">
        <v>16000</v>
      </c>
      <c r="R63" s="15">
        <v>14109.04</v>
      </c>
      <c r="S63" s="15">
        <v>16000</v>
      </c>
      <c r="T63" s="15">
        <v>11500</v>
      </c>
      <c r="U63" s="15">
        <v>8000</v>
      </c>
      <c r="V63" s="15"/>
    </row>
    <row r="64" spans="1:46">
      <c r="A64" s="48"/>
      <c r="B64" s="8" t="s">
        <v>623</v>
      </c>
      <c r="C64" s="15">
        <v>0</v>
      </c>
      <c r="D64" s="15">
        <v>0</v>
      </c>
      <c r="E64" s="15">
        <v>0</v>
      </c>
      <c r="F64" s="15">
        <v>0</v>
      </c>
      <c r="G64" s="15">
        <v>0</v>
      </c>
      <c r="H64" s="15">
        <v>606.84</v>
      </c>
      <c r="I64" s="15">
        <v>1500</v>
      </c>
      <c r="J64" s="15">
        <v>0</v>
      </c>
      <c r="K64" s="15">
        <v>750</v>
      </c>
      <c r="L64" s="15">
        <v>212.94</v>
      </c>
      <c r="M64" s="15">
        <v>0</v>
      </c>
      <c r="N64" s="149">
        <v>2614.96</v>
      </c>
      <c r="O64" s="15">
        <v>350</v>
      </c>
      <c r="P64" s="15">
        <v>300</v>
      </c>
      <c r="Q64" s="15">
        <v>350</v>
      </c>
      <c r="R64" s="201"/>
      <c r="S64" s="15"/>
      <c r="T64" s="15"/>
      <c r="U64" s="15"/>
      <c r="V64" s="15"/>
    </row>
    <row r="65" spans="1:22" hidden="1">
      <c r="A65" s="48"/>
      <c r="B65" s="8" t="s">
        <v>624</v>
      </c>
      <c r="C65" s="15">
        <v>0</v>
      </c>
      <c r="D65" s="15">
        <v>0</v>
      </c>
      <c r="E65" s="15">
        <v>0</v>
      </c>
      <c r="F65" s="15">
        <v>0</v>
      </c>
      <c r="G65" s="15">
        <v>4550</v>
      </c>
      <c r="H65" s="15">
        <v>0</v>
      </c>
      <c r="I65" s="15">
        <v>0</v>
      </c>
      <c r="J65" s="15">
        <v>0</v>
      </c>
      <c r="K65" s="15">
        <v>0</v>
      </c>
      <c r="L65" s="15">
        <v>925.02</v>
      </c>
      <c r="M65" s="15">
        <v>0</v>
      </c>
      <c r="N65" s="167">
        <v>0</v>
      </c>
      <c r="O65" s="15">
        <v>0</v>
      </c>
      <c r="P65" s="15"/>
      <c r="Q65" s="15"/>
      <c r="R65" s="201"/>
      <c r="S65" s="15"/>
      <c r="T65" s="15"/>
      <c r="U65" s="15"/>
      <c r="V65" s="15"/>
    </row>
    <row r="66" spans="1:22" hidden="1">
      <c r="A66" s="48"/>
      <c r="B66" s="8" t="s">
        <v>265</v>
      </c>
      <c r="C66" s="15">
        <v>0</v>
      </c>
      <c r="D66" s="15">
        <v>0</v>
      </c>
      <c r="E66" s="15">
        <v>0</v>
      </c>
      <c r="F66" s="15">
        <v>0</v>
      </c>
      <c r="G66" s="15">
        <v>750</v>
      </c>
      <c r="H66" s="15">
        <v>1127.3599999999999</v>
      </c>
      <c r="I66" s="15">
        <v>0</v>
      </c>
      <c r="J66" s="15">
        <v>356.12</v>
      </c>
      <c r="K66" s="15">
        <v>0</v>
      </c>
      <c r="L66" s="15">
        <v>0</v>
      </c>
      <c r="M66" s="15">
        <v>0</v>
      </c>
      <c r="N66" s="167">
        <v>0</v>
      </c>
      <c r="O66" s="15">
        <v>0</v>
      </c>
      <c r="P66" s="15"/>
      <c r="Q66" s="15"/>
      <c r="R66" s="201"/>
      <c r="S66" s="15"/>
      <c r="T66" s="15"/>
      <c r="U66" s="15"/>
      <c r="V66" s="15"/>
    </row>
    <row r="67" spans="1:22">
      <c r="A67" s="48" t="s">
        <v>603</v>
      </c>
      <c r="B67" s="8" t="s">
        <v>625</v>
      </c>
      <c r="C67" s="15"/>
      <c r="D67" s="15"/>
      <c r="E67" s="15"/>
      <c r="F67" s="15"/>
      <c r="G67" s="15"/>
      <c r="H67" s="15"/>
      <c r="I67" s="15"/>
      <c r="J67" s="15"/>
      <c r="K67" s="15"/>
      <c r="L67" s="15"/>
      <c r="M67" s="15"/>
      <c r="N67" s="167"/>
      <c r="O67" s="15">
        <v>2500</v>
      </c>
      <c r="P67" s="15">
        <v>2489.9899999999998</v>
      </c>
      <c r="Q67" s="15">
        <v>3500</v>
      </c>
      <c r="R67" s="15">
        <v>3175.3</v>
      </c>
      <c r="S67" s="15">
        <v>3500</v>
      </c>
      <c r="T67" s="15">
        <v>3700</v>
      </c>
      <c r="U67" s="389">
        <v>4000</v>
      </c>
      <c r="V67" s="15"/>
    </row>
    <row r="68" spans="1:22">
      <c r="A68" s="48"/>
      <c r="B68" s="8" t="s">
        <v>626</v>
      </c>
      <c r="C68" s="15">
        <v>0</v>
      </c>
      <c r="D68" s="15">
        <v>0</v>
      </c>
      <c r="E68" s="15">
        <v>0</v>
      </c>
      <c r="F68" s="15">
        <v>0</v>
      </c>
      <c r="G68" s="15">
        <v>0</v>
      </c>
      <c r="H68" s="15">
        <v>7334.02</v>
      </c>
      <c r="I68" s="15">
        <v>0</v>
      </c>
      <c r="J68" s="15">
        <v>15073.37</v>
      </c>
      <c r="K68" s="15">
        <v>0</v>
      </c>
      <c r="L68" s="15">
        <v>0</v>
      </c>
      <c r="M68" s="15">
        <v>2000</v>
      </c>
      <c r="N68" s="167">
        <v>0</v>
      </c>
      <c r="O68" s="15">
        <v>0</v>
      </c>
      <c r="P68" s="15"/>
      <c r="Q68" s="15"/>
      <c r="R68" s="15"/>
      <c r="S68" s="15"/>
      <c r="T68" s="15"/>
      <c r="U68" s="15"/>
      <c r="V68" s="15"/>
    </row>
    <row r="69" spans="1:22">
      <c r="A69" s="48"/>
      <c r="B69" s="8" t="s">
        <v>220</v>
      </c>
      <c r="C69" s="15"/>
      <c r="D69" s="15"/>
      <c r="E69" s="15"/>
      <c r="F69" s="15"/>
      <c r="G69" s="15"/>
      <c r="H69" s="15"/>
      <c r="I69" s="15"/>
      <c r="J69" s="15"/>
      <c r="K69" s="15"/>
      <c r="L69" s="15"/>
      <c r="M69" s="15"/>
      <c r="N69" s="15"/>
      <c r="O69" s="15"/>
      <c r="P69" s="15"/>
      <c r="Q69" s="15"/>
      <c r="R69" s="15"/>
      <c r="S69" s="15"/>
      <c r="T69" s="15">
        <v>2825</v>
      </c>
      <c r="U69" s="15"/>
      <c r="V69" s="15"/>
    </row>
    <row r="70" spans="1:22" s="8" customFormat="1">
      <c r="B70" s="8" t="s">
        <v>13</v>
      </c>
      <c r="C70" s="20">
        <f>SUBTOTAL(109,SpecialEventsExpenses[Budget 10/11])</f>
        <v>100489.7</v>
      </c>
      <c r="D70" s="20">
        <f>SUBTOTAL(109,SpecialEventsExpenses[Actual 10/11])</f>
        <v>115475.95</v>
      </c>
      <c r="E70" s="20">
        <f>SUBTOTAL(109,SpecialEventsExpenses[Budget 11/12])</f>
        <v>117005</v>
      </c>
      <c r="F70" s="20">
        <f>SUBTOTAL(109,SpecialEventsExpenses[Actual 11/12])</f>
        <v>124421.75999999998</v>
      </c>
      <c r="G70" s="20">
        <f>SUBTOTAL(109,SpecialEventsExpenses[Budget 12/13])</f>
        <v>104738.84</v>
      </c>
      <c r="H70" s="20">
        <f>SUBTOTAL(109,SpecialEventsExpenses[Actual 12/13])</f>
        <v>104119.85</v>
      </c>
      <c r="I70" s="20">
        <f>SUBTOTAL(109,SpecialEventsExpenses[Budget 13/14])</f>
        <v>105020.16</v>
      </c>
      <c r="J70" s="20">
        <f>SUBTOTAL(109,SpecialEventsExpenses[Actual 13/14])</f>
        <v>105928.01999999999</v>
      </c>
      <c r="K70" s="20">
        <f>SUBTOTAL(109,SpecialEventsExpenses[Budget 14/15])</f>
        <v>103101.32</v>
      </c>
      <c r="L70" s="20">
        <f>SUBTOTAL(109,SpecialEventsExpenses[Actual 14/15])</f>
        <v>153637.33000000002</v>
      </c>
      <c r="M70" s="20">
        <f>SUBTOTAL(109,SpecialEventsExpenses[Budget 15/16])</f>
        <v>138976.32000000001</v>
      </c>
      <c r="N70" s="169">
        <f>SUBTOTAL(109,SpecialEventsExpenses[Actual 15/16])</f>
        <v>139079.91999999998</v>
      </c>
      <c r="O70" s="20">
        <f>SUBTOTAL(109,SpecialEventsExpenses[Budget 16/17])</f>
        <v>116130</v>
      </c>
      <c r="P70" s="20">
        <f>SUBTOTAL(109,SpecialEventsExpenses[Actual])</f>
        <v>111600.67</v>
      </c>
      <c r="Q70" s="20">
        <f>SUBTOTAL(109,SpecialEventsExpenses[Budget 17/18])</f>
        <v>116780</v>
      </c>
      <c r="R70" s="20">
        <f>SUM(SpecialEventsExpenses[Actual 17/18])</f>
        <v>107009.62000000001</v>
      </c>
      <c r="S70" s="20">
        <f>SUM(SpecialEventsExpenses[Budget 18/19])</f>
        <v>107600</v>
      </c>
      <c r="T70" s="20">
        <f>SUM(SpecialEventsExpenses[Actual 18/19])</f>
        <v>94298.21</v>
      </c>
      <c r="U70" s="20">
        <f>SUM(SpecialEventsExpenses[Budget 19/20])</f>
        <v>86000</v>
      </c>
      <c r="V70" s="20"/>
    </row>
    <row r="71" spans="1:22" ht="13.5" thickBot="1">
      <c r="A71" s="48"/>
      <c r="C71" s="20"/>
      <c r="D71" s="20"/>
      <c r="E71" s="20"/>
      <c r="F71" s="20"/>
      <c r="G71" s="20"/>
      <c r="H71" s="20"/>
      <c r="I71" s="20"/>
      <c r="J71" s="20"/>
      <c r="K71" s="20"/>
      <c r="L71" s="20"/>
      <c r="M71" s="20"/>
      <c r="P71" s="8"/>
      <c r="Q71" s="8"/>
      <c r="R71" s="8"/>
      <c r="S71" s="8"/>
      <c r="T71" s="8"/>
      <c r="U71" s="8"/>
      <c r="V71" s="8"/>
    </row>
    <row r="72" spans="1:22" ht="19.5" thickBot="1">
      <c r="A72" s="48"/>
      <c r="B72" s="452" t="s">
        <v>102</v>
      </c>
      <c r="C72" s="82">
        <f>((SpecialEventsRevenues[[#Totals],[Budget 10/11]]- SpecialEventsCostofSales[[#Totals],[Budget 10/11]]))-SpecialEventsExpenses[[#Totals],[Budget 10/11]]</f>
        <v>-102333.7</v>
      </c>
      <c r="D72" s="82">
        <f>((SpecialEventsRevenues[[#Totals],[Actual 10/11]]- SpecialEventsCostofSales[[#Totals],[Actual 10/11]]))-SpecialEventsExpenses[[#Totals],[Actual 10/11]]</f>
        <v>-131818.63999999998</v>
      </c>
      <c r="E72" s="82">
        <f>((SpecialEventsRevenues[[#Totals],[Budget 11/12]]- SpecialEventsCostofSales[[#Totals],[Budget 11/12]]))-SpecialEventsExpenses[[#Totals],[Budget 11/12]]</f>
        <v>-113880.22</v>
      </c>
      <c r="F72" s="82">
        <f>((SpecialEventsRevenues[[#Totals],[Actual 11/12]]- SpecialEventsCostofSales[[#Totals],[Actual 11/12]]))-SpecialEventsExpenses[[#Totals],[Actual 11/12]]</f>
        <v>-131733.93</v>
      </c>
      <c r="G72" s="82">
        <f>((SpecialEventsRevenues[[#Totals],[Budget 12/13]]- SpecialEventsCostofSales[[#Totals],[Budget 12/13]]))-SpecialEventsExpenses[[#Totals],[Budget 12/13]]</f>
        <v>-94738.84</v>
      </c>
      <c r="H72" s="82">
        <f>((SpecialEventsRevenues[[#Totals],[Actual 12/13]]- SpecialEventsCostofSales[[#Totals],[Actual 12/13]]))-SpecialEventsExpenses[[#Totals],[Actual 12/13]]</f>
        <v>-96362.78</v>
      </c>
      <c r="I72" s="82">
        <f>((SpecialEventsRevenues[[#Totals],[Budget 13/14]]- SpecialEventsCostofSales[[#Totals],[Budget 13/14]]))-SpecialEventsExpenses[[#Totals],[Budget 13/14]]</f>
        <v>-95020.160000000003</v>
      </c>
      <c r="J72" s="82">
        <f>((SpecialEventsRevenues[[#Totals],[Actual 13/14]]- SpecialEventsCostofSales[[#Totals],[Actual 13/14]]))-SpecialEventsExpenses[[#Totals],[Actual 13/14]]</f>
        <v>-114714.19999999998</v>
      </c>
      <c r="K72" s="82">
        <f>((SpecialEventsRevenues[[#Totals],[Budget 14/15]]- SpecialEventsCostofSales[[#Totals],[Budget 14/15]]))-SpecialEventsExpenses[[#Totals],[Budget 14/15]]</f>
        <v>-95101.32</v>
      </c>
      <c r="L72" s="82">
        <f>((SpecialEventsRevenues[[#Totals],[Actual 14/15]]- SpecialEventsCostofSales[[#Totals],[Actual 14/15]]))-SpecialEventsExpenses[[#Totals],[Actual 14/15]]</f>
        <v>-103131.14000000001</v>
      </c>
      <c r="M72" s="82">
        <f>((SpecialEventsRevenues[[#Totals],[Budget 15/16]]- SpecialEventsCostofSales[[#Totals],[Budget 15/16]]))-SpecialEventsExpenses[[#Totals],[Budget 15/16]]</f>
        <v>-91518.32</v>
      </c>
      <c r="N72" s="82">
        <f>((SpecialEventsRevenues[[#Totals],[Actual 15/16]]- SpecialEventsCostofSales[[#Totals],[Actual 15/16]]))-SpecialEventsExpenses[[#Totals],[Actual 15/16]]</f>
        <v>-92458</v>
      </c>
      <c r="O72" s="82">
        <f>((SpecialEventsRevenues[[#Totals],[Budget 16/17]]- SpecialEventsCostofSales[[#Totals],[Budget 16/17]]))-SpecialEventsExpenses[[#Totals],[Budget 16/17]]</f>
        <v>-86130</v>
      </c>
      <c r="P72" s="82">
        <f>((SpecialEventsRevenues[[#Totals],[Actual]]- SpecialEventsCostofSales[[#Totals],[actual]]))-SpecialEventsExpenses[[#Totals],[Actual]]</f>
        <v>-78811.67</v>
      </c>
      <c r="Q72" s="82">
        <f>((SpecialEventsRevenues[[#Totals],[Budget 17/18]]- SpecialEventsCostofSales[[#Totals],[Budget 17/18]]))-SpecialEventsExpenses[[#Totals],[Budget 17/18]]</f>
        <v>-86780</v>
      </c>
      <c r="R72" s="82">
        <f>((SpecialEventsRevenues[[#Totals],[Actual 17/18]]- SpecialEventsCostofSales[[#Totals],[Actual 17/18]]))-SpecialEventsExpenses[[#Totals],[Actual 17/18]]</f>
        <v>-78547.270000000019</v>
      </c>
      <c r="S72" s="82">
        <f>((SpecialEventsRevenues[[#Totals],[Budget 18/19]]- SpecialEventsCostofSales[[#Totals],[Budget 18/19]]))-SpecialEventsExpenses[[#Totals],[Budget 18/19]]</f>
        <v>-82600</v>
      </c>
      <c r="T72" s="82">
        <f>((SpecialEventsRevenues[[#Totals],[Actual 18/19]]- SpecialEventsCostofSales[[#Totals],[Actual 18/19]]))-SpecialEventsExpenses[[#Totals],[Actual 18/19]]</f>
        <v>-74050.28</v>
      </c>
      <c r="U72" s="82">
        <f>((SpecialEventsRevenues[[#Totals],[Budget 19/20]]- SpecialEventsCostofSales[[#Totals],[Budget 19/20]]))-SpecialEventsExpenses[[#Totals],[Budget 19/20]]</f>
        <v>-63000</v>
      </c>
      <c r="V72" s="82"/>
    </row>
    <row r="73" spans="1:22">
      <c r="A73" s="48"/>
      <c r="B73" s="8"/>
      <c r="C73" s="20"/>
      <c r="D73" s="20"/>
      <c r="E73" s="20"/>
      <c r="F73" s="20"/>
      <c r="G73" s="20"/>
      <c r="H73" s="20"/>
      <c r="I73" s="20"/>
      <c r="J73" s="20"/>
      <c r="K73" s="20"/>
      <c r="L73" s="20"/>
      <c r="M73" s="20"/>
    </row>
    <row r="74" spans="1:22">
      <c r="A74" s="48"/>
      <c r="B74" s="8"/>
      <c r="C74" s="8"/>
      <c r="D74" s="8"/>
      <c r="E74" s="8"/>
      <c r="F74" s="8"/>
      <c r="G74" s="8"/>
      <c r="H74" s="8"/>
      <c r="I74" s="8"/>
      <c r="J74" s="8"/>
      <c r="K74" s="8"/>
      <c r="L74" s="8"/>
      <c r="M74" s="8"/>
    </row>
    <row r="75" spans="1:22">
      <c r="A75" s="48"/>
      <c r="B75" s="8"/>
      <c r="C75" s="8"/>
      <c r="D75" s="8"/>
      <c r="E75" s="8"/>
      <c r="F75" s="8"/>
      <c r="G75" s="8"/>
      <c r="H75" s="8"/>
      <c r="I75" s="8"/>
      <c r="J75" s="8"/>
      <c r="K75" s="8"/>
      <c r="L75" s="8"/>
      <c r="M75" s="8"/>
    </row>
    <row r="76" spans="1:22">
      <c r="A76" s="48"/>
      <c r="B76" s="8"/>
      <c r="C76" s="8"/>
      <c r="D76" s="8"/>
      <c r="E76" s="8"/>
      <c r="F76" s="8"/>
      <c r="G76" s="8"/>
      <c r="H76" s="8"/>
      <c r="I76" s="8"/>
      <c r="J76" s="8"/>
      <c r="K76" s="8"/>
      <c r="L76" s="8"/>
      <c r="M76" s="8"/>
    </row>
    <row r="77" spans="1:22">
      <c r="A77" s="48"/>
      <c r="B77" s="89"/>
      <c r="C77" s="8"/>
      <c r="D77" s="8"/>
      <c r="E77" s="8"/>
      <c r="F77" s="8"/>
      <c r="G77" s="8"/>
      <c r="H77" s="8"/>
      <c r="I77" s="8"/>
      <c r="J77" s="8"/>
      <c r="K77" s="8"/>
      <c r="L77" s="8"/>
      <c r="M77" s="8"/>
    </row>
    <row r="78" spans="1:22">
      <c r="A78" s="48"/>
      <c r="B78" s="8"/>
      <c r="C78" s="8"/>
      <c r="D78" s="8"/>
      <c r="E78" s="8"/>
      <c r="F78" s="8"/>
      <c r="G78" s="8"/>
      <c r="H78" s="8"/>
      <c r="I78" s="8"/>
      <c r="J78" s="8"/>
      <c r="K78" s="8"/>
      <c r="L78" s="8"/>
      <c r="M78" s="8"/>
    </row>
    <row r="79" spans="1:22">
      <c r="A79" s="48"/>
      <c r="B79" s="50"/>
      <c r="C79" s="8"/>
      <c r="D79" s="8"/>
      <c r="E79" s="8"/>
      <c r="F79" s="8"/>
      <c r="G79" s="8"/>
      <c r="H79" s="8"/>
      <c r="I79" s="8"/>
      <c r="J79" s="8"/>
      <c r="K79" s="8"/>
      <c r="L79" s="8"/>
      <c r="M79" s="8"/>
    </row>
    <row r="80" spans="1:22">
      <c r="B80" s="8"/>
      <c r="C80" s="8"/>
      <c r="D80" s="8"/>
      <c r="E80" s="8"/>
      <c r="F80" s="8"/>
      <c r="G80" s="8"/>
      <c r="H80" s="8"/>
      <c r="I80" s="8"/>
      <c r="J80" s="8"/>
      <c r="K80" s="8"/>
      <c r="L80" s="8"/>
      <c r="M80" s="8"/>
    </row>
    <row r="102" spans="1:2">
      <c r="A102" s="33"/>
    </row>
    <row r="104" spans="1:2">
      <c r="A104" s="33"/>
    </row>
    <row r="105" spans="1:2">
      <c r="A105" s="33"/>
    </row>
    <row r="107" spans="1:2">
      <c r="B107" s="34"/>
    </row>
    <row r="108" spans="1:2">
      <c r="B108" s="34"/>
    </row>
    <row r="109" spans="1:2">
      <c r="B109" s="32"/>
    </row>
    <row r="110" spans="1:2">
      <c r="B110" s="34"/>
    </row>
  </sheetData>
  <customSheetViews>
    <customSheetView guid="{DC934874-AE9C-4DF4-8DA8-4394DABABB42}" showRuler="0" topLeftCell="A8">
      <selection activeCell="G23" sqref="G23"/>
      <pageMargins left="0" right="0" top="0" bottom="0" header="0" footer="0"/>
      <pageSetup orientation="portrait"/>
      <headerFooter alignWithMargins="0"/>
    </customSheetView>
    <customSheetView guid="{7FD89B2E-4983-4B8D-ABA2-A07F685A0C6E}" showRuler="0">
      <selection activeCell="A7" sqref="A7"/>
      <pageMargins left="0" right="0" top="0" bottom="0" header="0" footer="0"/>
      <pageSetup orientation="portrait"/>
      <headerFooter alignWithMargins="0"/>
    </customSheetView>
    <customSheetView guid="{84D8AC11-A493-4338-8044-6F4154C29695}" showRuler="0">
      <selection activeCell="G21" sqref="G21"/>
      <pageMargins left="0" right="0" top="0" bottom="0" header="0" footer="0"/>
      <pageSetup orientation="portrait"/>
      <headerFooter alignWithMargins="0"/>
    </customSheetView>
    <customSheetView guid="{BB157E55-0A2E-4D9F-A3BF-E83E5442FC27}" showPageBreaks="1" showRuler="0">
      <selection activeCell="G21" sqref="G21"/>
      <pageMargins left="0" right="0" top="0" bottom="0" header="0" footer="0"/>
      <pageSetup orientation="portrait"/>
      <headerFooter alignWithMargins="0"/>
    </customSheetView>
  </customSheetViews>
  <mergeCells count="1">
    <mergeCell ref="A1:B1"/>
  </mergeCells>
  <phoneticPr fontId="0" type="noConversion"/>
  <pageMargins left="0.23622047244094491" right="0.23622047244094491" top="0.74803149606299213" bottom="0.74803149606299213" header="0.31496062992125984" footer="0.31496062992125984"/>
  <pageSetup scale="74" fitToHeight="0" orientation="landscape" r:id="rId1"/>
  <headerFooter alignWithMargins="0"/>
  <legacyDrawing r:id="rId2"/>
  <tableParts count="3">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6B121"/>
  </sheetPr>
  <dimension ref="A1:K31"/>
  <sheetViews>
    <sheetView zoomScale="160" zoomScaleNormal="160" workbookViewId="0">
      <selection activeCell="E17" sqref="E17"/>
    </sheetView>
  </sheetViews>
  <sheetFormatPr defaultRowHeight="12.75"/>
  <cols>
    <col min="1" max="1" width="29.7109375" customWidth="1"/>
    <col min="2" max="2" width="16.28515625" customWidth="1"/>
    <col min="3" max="3" width="15.85546875" customWidth="1"/>
    <col min="4" max="4" width="16.42578125" customWidth="1"/>
    <col min="5" max="5" width="13.140625" customWidth="1"/>
  </cols>
  <sheetData>
    <row r="1" spans="1:11" ht="18">
      <c r="A1" s="534" t="s">
        <v>3</v>
      </c>
      <c r="B1" s="534"/>
      <c r="C1" s="534"/>
      <c r="D1" s="534"/>
    </row>
    <row r="2" spans="1:11">
      <c r="A2" s="535" t="s">
        <v>4</v>
      </c>
      <c r="B2" s="535"/>
      <c r="C2" s="535"/>
      <c r="D2" s="535"/>
    </row>
    <row r="4" spans="1:11">
      <c r="A4" s="12" t="s">
        <v>5</v>
      </c>
      <c r="B4" s="417" t="s">
        <v>6</v>
      </c>
      <c r="C4" s="34" t="s">
        <v>7</v>
      </c>
      <c r="D4" s="34" t="s">
        <v>8</v>
      </c>
    </row>
    <row r="5" spans="1:11">
      <c r="A5" s="12" t="s">
        <v>9</v>
      </c>
      <c r="B5" s="39">
        <f>PresidentSummary70[[#Totals],[Budget 18/19]]</f>
        <v>0</v>
      </c>
      <c r="C5" s="39">
        <f>PresidentSummary70[[#Totals],[Actual 18/19]]</f>
        <v>0</v>
      </c>
      <c r="D5" s="39">
        <f>PresidentSummary70[[#Totals],[Budget 19/20]]</f>
        <v>2740</v>
      </c>
    </row>
    <row r="6" spans="1:11">
      <c r="A6" s="12" t="s">
        <v>10</v>
      </c>
      <c r="B6" s="39">
        <f>VPOFSummary69[[#Totals],[Budget 18/19]]</f>
        <v>5825282.6702320259</v>
      </c>
      <c r="C6" s="39">
        <f>VPOFSummary69[[#Totals],[Actual 18/19]]</f>
        <v>5530912.9600000009</v>
      </c>
      <c r="D6" s="39">
        <f>VPOFSummary69[[#Totals],[Budget 19/20]]</f>
        <v>5756864.3046811493</v>
      </c>
    </row>
    <row r="7" spans="1:11">
      <c r="A7" s="12" t="s">
        <v>11</v>
      </c>
      <c r="B7" s="39">
        <f>VPINSummary71[[#Totals],[Budget 18/19]]</f>
        <v>52650</v>
      </c>
      <c r="C7" s="39">
        <f>VPINSummary71[[#Totals],[Actual 18/19]]</f>
        <v>81985.91</v>
      </c>
      <c r="D7" s="39">
        <f>VPINSummary71[[#Totals],[Budget 19/20]]</f>
        <v>77406.574999999997</v>
      </c>
    </row>
    <row r="8" spans="1:11">
      <c r="A8" s="12" t="s">
        <v>12</v>
      </c>
      <c r="B8" s="39">
        <f>VPEDSummary73[[#Totals],[Budget 18/19]]</f>
        <v>0</v>
      </c>
      <c r="C8" s="39">
        <f>VPEDSummary73[[#Totals],[Actual 18/19]]</f>
        <v>0</v>
      </c>
      <c r="D8" s="39">
        <f>VPEDSummary73[[#Totals],[Budget 19/20]]</f>
        <v>0</v>
      </c>
      <c r="K8" s="179"/>
    </row>
    <row r="9" spans="1:11">
      <c r="A9" s="335" t="s">
        <v>13</v>
      </c>
      <c r="B9" s="315">
        <f>SUBTOTAL(109,SummaryRevenues105[Budget 18/19])</f>
        <v>5877932.6702320259</v>
      </c>
      <c r="C9" s="315">
        <f>SUBTOTAL(109,SummaryRevenues105[Actual 18/19])</f>
        <v>5612898.870000001</v>
      </c>
      <c r="D9" s="315">
        <f>SUBTOTAL(109,SummaryRevenues105[Budget 19/20])</f>
        <v>5837010.8796811495</v>
      </c>
    </row>
    <row r="11" spans="1:11">
      <c r="A11" t="s">
        <v>14</v>
      </c>
      <c r="B11" s="417" t="s">
        <v>6</v>
      </c>
      <c r="C11" s="34" t="s">
        <v>7</v>
      </c>
      <c r="D11" s="34" t="s">
        <v>8</v>
      </c>
    </row>
    <row r="12" spans="1:11">
      <c r="A12" s="12" t="s">
        <v>9</v>
      </c>
      <c r="B12" s="39">
        <f>PresidentSummary[[#Totals],[Budget 18/19]]</f>
        <v>88738.680000000008</v>
      </c>
      <c r="C12" s="39">
        <f>PresidentSummary[[#Totals],[Actual 18/19]]</f>
        <v>86178.400000000009</v>
      </c>
      <c r="D12" s="39">
        <f>PresidentSummary[[#Totals],[Budget 19/20]]</f>
        <v>105625.59284</v>
      </c>
    </row>
    <row r="13" spans="1:11">
      <c r="A13" s="12" t="s">
        <v>10</v>
      </c>
      <c r="B13" s="418">
        <f>VPOFSummary[[#Totals],[Budget 18/19]]</f>
        <v>5686013.5745023228</v>
      </c>
      <c r="C13" s="418">
        <f>VPOFSummary[[#Totals],[Actual 18/19]]</f>
        <v>5328342.950000002</v>
      </c>
      <c r="D13" s="418">
        <f>VPOFSummary[[#Totals],[Budget 19/20]]</f>
        <v>5057657.707867044</v>
      </c>
      <c r="E13" s="5"/>
    </row>
    <row r="14" spans="1:11">
      <c r="A14" s="12" t="s">
        <v>11</v>
      </c>
      <c r="B14" s="39">
        <f>VPINSummary[[#Totals],[Budget 18/19]]</f>
        <v>381336.38</v>
      </c>
      <c r="C14" s="39">
        <f>VPINSummary[[#Totals],[Actual 18/19]]</f>
        <v>361854.86000000004</v>
      </c>
      <c r="D14" s="39">
        <f>VPINSummary[[#Totals],[Budget 19/20]]</f>
        <v>354721.37283999997</v>
      </c>
    </row>
    <row r="15" spans="1:11">
      <c r="A15" s="12" t="s">
        <v>12</v>
      </c>
      <c r="B15" s="39">
        <f>VPEDSummary[[#Totals],[Budget 18/19]]</f>
        <v>198863.68</v>
      </c>
      <c r="C15" s="39">
        <f>VPEDSummary[[#Totals],[Actual 18/19]]</f>
        <v>198882.26000000004</v>
      </c>
      <c r="D15" s="39">
        <f>VPEDSummary[[#Totals],[Budget 19/20]]</f>
        <v>206218.88433999999</v>
      </c>
    </row>
    <row r="16" spans="1:11">
      <c r="A16" s="335" t="s">
        <v>13</v>
      </c>
      <c r="B16" s="315">
        <f>SUBTOTAL(109,SummaryExpenses106[Budget 18/19])</f>
        <v>6354952.3145023221</v>
      </c>
      <c r="C16" s="315">
        <f>SUBTOTAL(109,SummaryExpenses106[Actual 18/19])</f>
        <v>5975258.4700000025</v>
      </c>
      <c r="D16" s="315">
        <f>SUBTOTAL(109,SummaryExpenses106[Budget 19/20])</f>
        <v>5724223.5578870447</v>
      </c>
    </row>
    <row r="17" spans="1:6" ht="13.5" thickBot="1"/>
    <row r="18" spans="1:6" ht="16.5" thickBot="1">
      <c r="A18" s="445" t="s">
        <v>15</v>
      </c>
      <c r="B18" s="123">
        <f>SummaryRevenues105[[#Totals],[Budget 18/19]]-SummaryExpenses106[[#Totals],[Budget 18/19]]</f>
        <v>-477019.64427029621</v>
      </c>
      <c r="C18" s="123">
        <f>SummaryRevenues105[[#Totals],[Actual 18/19]]-SummaryExpenses106[[#Totals],[Actual 18/19]]</f>
        <v>-362359.60000000149</v>
      </c>
      <c r="D18" s="123">
        <f>SummaryRevenues105[[#Totals],[Budget 19/20]]-SummaryExpenses106[[#Totals],[Budget 19/20]]</f>
        <v>112787.32179410476</v>
      </c>
      <c r="F18" s="323"/>
    </row>
    <row r="20" spans="1:6" ht="18">
      <c r="A20" s="419"/>
    </row>
    <row r="23" spans="1:6">
      <c r="A23" s="12"/>
    </row>
    <row r="25" spans="1:6">
      <c r="A25" s="344"/>
    </row>
    <row r="26" spans="1:6">
      <c r="A26" s="12"/>
      <c r="B26" s="5"/>
    </row>
    <row r="27" spans="1:6">
      <c r="A27" s="12"/>
      <c r="B27" s="5"/>
    </row>
    <row r="28" spans="1:6">
      <c r="A28" s="12"/>
      <c r="B28" s="5"/>
    </row>
    <row r="29" spans="1:6">
      <c r="A29" s="12"/>
      <c r="B29" s="5"/>
    </row>
    <row r="31" spans="1:6">
      <c r="B31" s="5"/>
    </row>
  </sheetData>
  <mergeCells count="2">
    <mergeCell ref="A1:D1"/>
    <mergeCell ref="A2:D2"/>
  </mergeCells>
  <pageMargins left="0.7" right="0.7" top="0.75" bottom="0.75" header="0.3" footer="0.3"/>
  <pageSetup orientation="landscape" r:id="rId1"/>
  <tableParts count="2">
    <tablePart r:id="rId2"/>
    <tablePart r:id="rId3"/>
  </tablePar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rgb="FFFFFF00"/>
    <pageSetUpPr fitToPage="1"/>
  </sheetPr>
  <dimension ref="A1:U24"/>
  <sheetViews>
    <sheetView showGridLines="0" zoomScale="130" zoomScaleNormal="130" workbookViewId="0">
      <pane xSplit="1" topLeftCell="R1" activePane="topRight" state="frozen"/>
      <selection pane="topRight" activeCell="S32" sqref="S32"/>
    </sheetView>
  </sheetViews>
  <sheetFormatPr defaultColWidth="11.42578125" defaultRowHeight="12.75"/>
  <cols>
    <col min="1" max="1" width="59.7109375" customWidth="1"/>
    <col min="2" max="12" width="15.5703125" hidden="1" customWidth="1"/>
    <col min="13" max="13" width="15.140625" hidden="1" customWidth="1"/>
    <col min="14" max="14" width="18.7109375" hidden="1" customWidth="1"/>
    <col min="15" max="15" width="17.28515625" hidden="1" customWidth="1"/>
    <col min="16" max="17" width="19.5703125" hidden="1" customWidth="1"/>
    <col min="18" max="18" width="26.42578125" customWidth="1"/>
    <col min="19" max="19" width="16.140625" customWidth="1"/>
    <col min="20" max="20" width="17.5703125" customWidth="1"/>
  </cols>
  <sheetData>
    <row r="1" spans="1:21" ht="18">
      <c r="A1" s="88" t="s">
        <v>627</v>
      </c>
    </row>
    <row r="2" spans="1:21">
      <c r="A2" s="28" t="s">
        <v>163</v>
      </c>
    </row>
    <row r="4" spans="1:21">
      <c r="A4" s="12" t="s">
        <v>628</v>
      </c>
      <c r="B4" t="s">
        <v>48</v>
      </c>
      <c r="C4" t="s">
        <v>49</v>
      </c>
      <c r="D4" t="s">
        <v>50</v>
      </c>
      <c r="E4" t="s">
        <v>51</v>
      </c>
      <c r="F4" t="s">
        <v>52</v>
      </c>
      <c r="G4" t="s">
        <v>53</v>
      </c>
      <c r="H4" t="s">
        <v>54</v>
      </c>
      <c r="I4" t="s">
        <v>55</v>
      </c>
      <c r="J4" t="s">
        <v>56</v>
      </c>
      <c r="K4" t="s">
        <v>57</v>
      </c>
      <c r="L4" t="s">
        <v>29</v>
      </c>
      <c r="M4" s="12" t="s">
        <v>30</v>
      </c>
      <c r="N4" s="12" t="s">
        <v>31</v>
      </c>
      <c r="O4" s="12" t="s">
        <v>32</v>
      </c>
      <c r="P4" s="12" t="s">
        <v>33</v>
      </c>
      <c r="Q4" s="12" t="s">
        <v>34</v>
      </c>
      <c r="R4" s="12" t="s">
        <v>6</v>
      </c>
      <c r="S4" s="12" t="s">
        <v>7</v>
      </c>
      <c r="T4" s="12" t="s">
        <v>8</v>
      </c>
      <c r="U4" s="12" t="s">
        <v>105</v>
      </c>
    </row>
    <row r="5" spans="1:21">
      <c r="A5" s="12" t="s">
        <v>629</v>
      </c>
      <c r="B5" s="86">
        <f>VPEDRevenues[[#Totals],[Budget 10/11]]-VPEDExpenses[[#Totals],[Budget 10/11]]</f>
        <v>-51680.18</v>
      </c>
      <c r="C5" s="86">
        <f>VPEDRevenues[[#Totals],[Actual 10/11]]-VPEDExpenses[[#Totals],[Actual 10/11]]</f>
        <v>-47104.94</v>
      </c>
      <c r="D5" s="86">
        <f>VPEDRevenues[[#Totals],[Budget 11/12]]-VPEDExpenses[[#Totals],[Budget 11/12]]</f>
        <v>-59237.1</v>
      </c>
      <c r="E5" s="86">
        <f>VPEDRevenues[[#Totals],[Actual 11/12]]-VPEDExpenses[[#Totals],[Actual 11/12]]</f>
        <v>-54541.15</v>
      </c>
      <c r="F5" s="86">
        <f>VPEDRevenues[[#Totals],[Budget 12/13]]-VPEDExpenses[[#Totals],[Budget 12/13]]</f>
        <v>-68297.308000000005</v>
      </c>
      <c r="G5" s="86">
        <f>VPEDRevenues[[#Totals],[Actual 12/13]]-VPEDExpenses[[#Totals],[Actual 12/13]]</f>
        <v>-71050.740000000005</v>
      </c>
      <c r="H5" s="86">
        <f>VPEDRevenues[[#Totals],[Budget 13/14]]-VPEDExpenses[[#Totals],[Budget 13/14]]</f>
        <v>-82168.12</v>
      </c>
      <c r="I5" s="86">
        <f>VPEDRevenues[[#Totals],[Actual 13/14]]-VPEDExpenses[[#Totals],[Actual 13/14]]</f>
        <v>-74754.840000000011</v>
      </c>
      <c r="J5" s="86">
        <f>VPEDRevenues[[#Totals],[Budget 14/15]]-VPEDExpenses[[#Totals],[Budget 14/15]]</f>
        <v>-94643.64</v>
      </c>
      <c r="K5" s="86">
        <f>VPEDRevenues[[#Totals],[Actual 14/15]]-VPEDExpenses[[#Totals],[Actual 14/15]]</f>
        <v>-77532.689999999973</v>
      </c>
      <c r="L5" s="86">
        <f>VPEDRevenues[[#Totals],[Budget 15/16]]-VPEDExpenses[[#Totals],[Budget 15/16]]</f>
        <v>-94987.760000000009</v>
      </c>
      <c r="M5" s="86">
        <f>VPEDRevenues[[#Totals],[Actual 15/16]]-VPEDExpenses[[#Totals],[Actual 15/16]]</f>
        <v>-66749.040000000008</v>
      </c>
      <c r="N5" s="86">
        <f>VPEDRevenues[[#Totals],[Budget 16/17]]-VPEDExpenses[[#Totals],[Budget 16/17]]</f>
        <v>-88005.350760000001</v>
      </c>
      <c r="O5" s="86">
        <f>VPEDRevenues[[#Totals],[Actual 16/17]]-VPEDExpenses[[#Totals],[Actual 16/17]]</f>
        <v>-83781.260000000024</v>
      </c>
      <c r="P5" s="86"/>
      <c r="Q5" s="44"/>
      <c r="R5" s="86">
        <f>VPEDRevenues[[#Totals],[Budget 18/19]]</f>
        <v>0</v>
      </c>
      <c r="S5" s="86">
        <f>VPEDRevenues[[#Totals],[Actual 18/19]]</f>
        <v>0</v>
      </c>
      <c r="T5" s="86">
        <f>VPEDRevenues[[#Totals],[Budget 19/20]]</f>
        <v>0</v>
      </c>
      <c r="U5" s="388"/>
    </row>
    <row r="6" spans="1:21">
      <c r="A6" s="12" t="s">
        <v>630</v>
      </c>
      <c r="B6" s="86">
        <v>0</v>
      </c>
      <c r="C6" s="86">
        <v>0</v>
      </c>
      <c r="D6" s="86">
        <v>0</v>
      </c>
      <c r="E6" s="86">
        <v>0</v>
      </c>
      <c r="F6" s="86">
        <v>0</v>
      </c>
      <c r="G6" s="86">
        <v>0</v>
      </c>
      <c r="H6" s="86">
        <v>0</v>
      </c>
      <c r="I6" s="86">
        <v>0</v>
      </c>
      <c r="J6" s="86">
        <v>-3491.01</v>
      </c>
      <c r="K6" s="86">
        <v>-3046.53</v>
      </c>
      <c r="L6" s="86">
        <f>SRORevenues[[#Totals],[Budget 15/16]]-SROExpenses[[#Totals],[Budget 15/16]]</f>
        <v>-2791.01</v>
      </c>
      <c r="M6" s="86">
        <v>0</v>
      </c>
      <c r="N6" s="86">
        <f>SRORevenues[[#Totals],[Budget 16/17]]-SROExpenses[[#Totals],[Budget 16/17]]</f>
        <v>-2105</v>
      </c>
      <c r="O6" s="86">
        <f>SRORevenues[[#Totals],[Actual 16/17]]-SROExpenses[[#Totals],[Actual 16/17]]</f>
        <v>-512.61</v>
      </c>
      <c r="P6" s="86"/>
      <c r="Q6" s="86"/>
      <c r="R6" s="388">
        <f>SRORevenues[[#Totals],[Budget 18/19]]</f>
        <v>0</v>
      </c>
      <c r="S6" s="388">
        <f>SRORevenues[[#Totals],[Actual 18/19]]</f>
        <v>0</v>
      </c>
      <c r="T6" s="388">
        <f>SRORevenues[[#Totals],[Budget 19/20]]</f>
        <v>0</v>
      </c>
      <c r="U6" s="388"/>
    </row>
    <row r="7" spans="1:21">
      <c r="A7" s="12" t="s">
        <v>631</v>
      </c>
      <c r="B7" s="86">
        <f>OUSARevenues[[#Totals],[Budget 10/11]]-OUSAExpenses[[#Totals],[Budget 10/11]]</f>
        <v>-74496.88</v>
      </c>
      <c r="C7" s="86">
        <f>OUSARevenues[[#Totals],[Actual 10/11]]-OUSAExpenses[[#Totals],[Actual 10/11]]</f>
        <v>-75721.239999999991</v>
      </c>
      <c r="D7" s="86">
        <f>OUSARevenues[[#Totals],[Budget 11/12]]-OUSAExpenses[[#Totals],[Budget 11/12]]</f>
        <v>-78882.2</v>
      </c>
      <c r="E7" s="86">
        <f>OUSARevenues[[#Totals],[Actual 11/12]]-OUSAExpenses[[#Totals],[Actual 11/12]]</f>
        <v>-82224.53</v>
      </c>
      <c r="F7" s="86">
        <f>OUSARevenues[[#Totals],[Budget 12/13]]-OUSAExpenses[[#Totals],[Budget 11/122]]</f>
        <v>-84347</v>
      </c>
      <c r="G7" s="86">
        <f>OUSARevenues[[#Totals],[Actual 12/13]]-OUSAExpenses[[#Totals],[Actual 12/13]]</f>
        <v>-88258.52</v>
      </c>
      <c r="H7" s="86">
        <f>OUSARevenues[[#Totals],[Budget 13/14]]-OUSAExpenses[[#Totals],[Budget 13/14]]</f>
        <v>-94300</v>
      </c>
      <c r="I7" s="86">
        <f>OUSARevenues[[#Totals],[Actual 13/14]]-OUSAExpenses[[#Totals],[Actual 13/14]]</f>
        <v>-77573.31</v>
      </c>
      <c r="J7" s="86">
        <f>OUSARevenues[[#Totals],[Budget 14/15]]-OUSAExpenses[[#Totals],[Budget 14/15]]</f>
        <v>-97548</v>
      </c>
      <c r="K7" s="86">
        <f>OUSARevenues[[#Totals],[Actual 14/15]]-OUSAExpenses[[#Totals],[Actual 14/15]]</f>
        <v>-96025.55</v>
      </c>
      <c r="L7" s="86">
        <f>OUSARevenues[[#Totals],[Budget 15/16]]-OUSAExpenses[[#Totals],[Budget 15/16]]</f>
        <v>-99685.331999999995</v>
      </c>
      <c r="M7" s="86">
        <f>OUSARevenues[[#Totals],[Actual 15/16]]-OUSAExpenses[[#Totals],[Actual 15/16]]</f>
        <v>-96120.42</v>
      </c>
      <c r="N7" s="86">
        <f>OUSARevenues[[#Totals],[Budget 16/17]]-OUSAExpenses[[#Totals],[Budget 16/17]]</f>
        <v>-102907</v>
      </c>
      <c r="O7" s="86">
        <f>OUSARevenues[[#Totals],[Actual 16/17]]-OUSAExpenses[[#Totals],[Actual 16/17]]</f>
        <v>-102214.04000000001</v>
      </c>
      <c r="P7" s="86"/>
      <c r="Q7" s="86"/>
      <c r="R7" s="86">
        <f>OUSARevenues[[#Totals],[Budget 18/19]]</f>
        <v>0</v>
      </c>
      <c r="S7" s="86">
        <f>OUSARevenues[[#Totals],[Actual 18/19]]</f>
        <v>0</v>
      </c>
      <c r="T7" s="86">
        <f>OUSARevenues[[#Totals],[Budget 19/20]]</f>
        <v>0</v>
      </c>
      <c r="U7" s="388"/>
    </row>
    <row r="8" spans="1:21">
      <c r="A8" s="12" t="s">
        <v>632</v>
      </c>
      <c r="B8" s="86">
        <v>0</v>
      </c>
      <c r="C8" s="86">
        <v>0</v>
      </c>
      <c r="D8" s="86">
        <v>0</v>
      </c>
      <c r="E8" s="86">
        <v>0</v>
      </c>
      <c r="F8" s="86">
        <v>0</v>
      </c>
      <c r="G8" s="86">
        <v>0</v>
      </c>
      <c r="H8" s="86">
        <f>AcademicAffairsRevenues[[#Totals],[Budget 13/14]]-AcademicAffairsExpenses[[#Totals],[Budget 13/14]]</f>
        <v>-3610</v>
      </c>
      <c r="I8" s="86">
        <f>AcademicAffairsRevenues[[#Totals],[Actual 13/14]]-AcademicAffairsExpenses[[#Totals],[Actual 13/14]]</f>
        <v>-1088.56</v>
      </c>
      <c r="J8" s="86">
        <f>AcademicAffairsRevenues[[#Totals],[Budget 14/15]]-AcademicAffairsExpenses[[#Totals],[Budget 14/15]]</f>
        <v>-2120</v>
      </c>
      <c r="K8" s="86">
        <f>AcademicAffairsRevenues[[#Totals],[Actual 14/15]]-AcademicAffairsExpenses[[#Totals],[Actual 14/15]]</f>
        <v>65</v>
      </c>
      <c r="L8" s="86">
        <f>AcademicAffairsRevenues[[#Totals],[Budget 15/16]]-AcademicAffairsExpenses[[#Totals],[Budget 15/16]]</f>
        <v>-1470</v>
      </c>
      <c r="M8" s="86">
        <f>AcademicAffairsRevenues[[#Totals],[Actual 15/16]]-AcademicAffairsExpenses[[#Totals],[Actual 15/16]]</f>
        <v>0</v>
      </c>
      <c r="N8" s="86">
        <f>AcademicAffairsRevenues[[#Totals],[Budget 16/17]]-AcademicAffairsExpenses[[#Totals],[Budget 16/17]]</f>
        <v>-1260</v>
      </c>
      <c r="O8" s="86">
        <f>AcademicAffairsRevenues[[#Totals],[Actual 16/17]]-AcademicAffairsExpenses[[#Totals],[Actual 16/17]]</f>
        <v>-93.360000000000014</v>
      </c>
      <c r="P8" s="86"/>
      <c r="Q8" s="86"/>
      <c r="R8" s="86">
        <f>AcademicAffairsRevenues[[#Totals],[Budget 18/19]]</f>
        <v>0</v>
      </c>
      <c r="S8" s="86">
        <f>AcademicAffairsRevenues[[#Totals],[Actual 18/19]]</f>
        <v>0</v>
      </c>
      <c r="T8" s="86">
        <f>AcademicAffairsRevenues[[#Totals],[Budget 19/20]]</f>
        <v>0</v>
      </c>
      <c r="U8" s="388"/>
    </row>
    <row r="9" spans="1:21">
      <c r="A9" s="12" t="s">
        <v>633</v>
      </c>
      <c r="B9" s="86"/>
      <c r="C9" s="86"/>
      <c r="D9" s="86"/>
      <c r="E9" s="86"/>
      <c r="F9" s="86"/>
      <c r="G9" s="86"/>
      <c r="H9" s="86"/>
      <c r="I9" s="86"/>
      <c r="J9" s="86"/>
      <c r="K9" s="86"/>
      <c r="L9" s="86"/>
      <c r="M9" s="86"/>
      <c r="N9" s="86"/>
      <c r="O9" s="86"/>
      <c r="P9" s="86"/>
      <c r="Q9" s="388"/>
      <c r="R9" s="86">
        <f>'VP Education (40100)'!T28</f>
        <v>0</v>
      </c>
      <c r="S9" s="86">
        <f>'VP Education (40100)'!U28</f>
        <v>0</v>
      </c>
      <c r="T9" s="388"/>
      <c r="U9" s="388"/>
    </row>
    <row r="10" spans="1:21">
      <c r="A10" s="12" t="s">
        <v>634</v>
      </c>
      <c r="B10" s="86">
        <v>0</v>
      </c>
      <c r="C10" s="86">
        <v>0</v>
      </c>
      <c r="D10" s="86">
        <v>0</v>
      </c>
      <c r="E10" s="86">
        <v>0</v>
      </c>
      <c r="F10" s="86">
        <v>0</v>
      </c>
      <c r="G10" s="86">
        <v>0</v>
      </c>
      <c r="H10" s="86">
        <f>LocalAffairsRevenues[[#Totals],[Budget 13/14]]-LocalAffairsExpenses[[#Totals],[Budget 13/14]]</f>
        <v>-4810</v>
      </c>
      <c r="I10" s="86">
        <f>LocalAffairsRevenues[[#Totals],[Actual 13/14]]-LocalAffairsExpenses[[#Totals],[Actual 13/14]]</f>
        <v>-34.71</v>
      </c>
      <c r="J10" s="86">
        <f>LocalAffairsRevenues[[#Totals],[Budget 14/15]]-LocalAffairsExpenses[[#Totals],[Budget 14/15]]</f>
        <v>-1760</v>
      </c>
      <c r="K10" s="86">
        <f>LocalAffairsRevenues[[#Totals],[Actual 14/15]]-LocalAffairsExpenses[[#Totals],[Actual 14/15]]</f>
        <v>-123.35</v>
      </c>
      <c r="L10" s="86">
        <f>LocalAffairsRevenues[[#Totals],[Budget 15/16]]-LocalAffairsExpenses[[#Totals],[Budget 15/16]]</f>
        <v>-810</v>
      </c>
      <c r="M10" s="86">
        <f>LocalAffairsRevenues[[#Totals],[Actual 15/16]]-LocalAffairsExpenses[[#Totals],[Actual 15/16]]</f>
        <v>-54.61</v>
      </c>
      <c r="N10" s="86">
        <f>LocalAffairsRevenues[[#Totals],[Budget 16/17]]-LocalAffairsExpenses[[#Totals],[Budget 16/17]]</f>
        <v>-440</v>
      </c>
      <c r="O10" s="86">
        <f>LocalAffairsRevenues[[#Totals],[Actual 16/17]]-LocalAffairsExpenses[[#Totals],[Actual 16/17]]</f>
        <v>0</v>
      </c>
      <c r="P10" s="86"/>
      <c r="Q10" s="86"/>
      <c r="R10" s="86">
        <f>LocalAffairsRevenues[[#Totals],[Budget 18/19]]</f>
        <v>0</v>
      </c>
      <c r="S10" s="86">
        <f>LocalAffairsRevenues[[#Totals],[Actual 18/19]]</f>
        <v>0</v>
      </c>
      <c r="T10" s="86">
        <f>LocalAffairsRevenues[[#Totals],[Budget 19/20]]</f>
        <v>0</v>
      </c>
      <c r="U10" s="388"/>
    </row>
    <row r="11" spans="1:21">
      <c r="A11" t="s">
        <v>13</v>
      </c>
      <c r="B11" s="416">
        <f>SUBTOTAL(109,VPEDSummary73[Budget 10/11])</f>
        <v>-126177.06</v>
      </c>
      <c r="C11" s="416">
        <f>SUBTOTAL(109,VPEDSummary73[Actual 10/11])</f>
        <v>-122826.18</v>
      </c>
      <c r="D11" s="416">
        <f>SUBTOTAL(109,VPEDSummary73[Budget 11/12])</f>
        <v>-138119.29999999999</v>
      </c>
      <c r="E11" s="416">
        <f>SUBTOTAL(109,VPEDSummary73[Actual 11/12])</f>
        <v>-136765.68</v>
      </c>
      <c r="F11" s="416">
        <f>SUBTOTAL(109,VPEDSummary73[Budget 12/13])</f>
        <v>-152644.30800000002</v>
      </c>
      <c r="G11" s="416">
        <f>SUBTOTAL(109,VPEDSummary73[Actual 12/13])</f>
        <v>-159309.26</v>
      </c>
      <c r="H11" s="416">
        <f>SUBTOTAL(109,VPEDSummary73[Budget 13/14])</f>
        <v>-184888.12</v>
      </c>
      <c r="I11" s="416">
        <f>SUBTOTAL(109,VPEDSummary73[Actual 13/14])</f>
        <v>-153451.42000000001</v>
      </c>
      <c r="J11" s="416">
        <f>SUBTOTAL(109,VPEDSummary73[Budget 14/15])</f>
        <v>-199562.65</v>
      </c>
      <c r="K11" s="416">
        <f>SUBTOTAL(109,VPEDSummary73[Actuals 14/15])</f>
        <v>-176663.11999999997</v>
      </c>
      <c r="L11" s="416">
        <f>SUBTOTAL(109,VPEDSummary73[Budget 15/16])</f>
        <v>-199744.10200000001</v>
      </c>
      <c r="M11" s="416">
        <f>SUBTOTAL(109,VPEDSummary73[Actual 15/16])</f>
        <v>-162924.07</v>
      </c>
      <c r="N11" s="416">
        <f>SUBTOTAL(109,VPEDSummary73[Budget 16/17])</f>
        <v>-194717.35076</v>
      </c>
      <c r="O11" s="416">
        <f>SUBTOTAL(109,VPEDSummary73[Actual 16/17])</f>
        <v>-186601.27000000002</v>
      </c>
      <c r="P11" s="416"/>
      <c r="Q11" s="315"/>
      <c r="R11" s="415">
        <f>SUBTOTAL(109,VPEDSummary73[Budget 18/19])</f>
        <v>0</v>
      </c>
      <c r="S11" s="415">
        <f>SUBTOTAL(109,VPEDSummary73[Actual 18/19])</f>
        <v>0</v>
      </c>
      <c r="T11" s="415">
        <f>SUBTOTAL(109,VPEDSummary73[Budget 19/20])</f>
        <v>0</v>
      </c>
      <c r="U11" s="415"/>
    </row>
    <row r="13" spans="1:21">
      <c r="A13" t="s">
        <v>42</v>
      </c>
      <c r="B13" t="s">
        <v>48</v>
      </c>
      <c r="C13" t="s">
        <v>49</v>
      </c>
      <c r="D13" t="s">
        <v>50</v>
      </c>
      <c r="E13" t="s">
        <v>51</v>
      </c>
      <c r="F13" t="s">
        <v>52</v>
      </c>
      <c r="G13" t="s">
        <v>53</v>
      </c>
      <c r="H13" t="s">
        <v>54</v>
      </c>
      <c r="I13" t="s">
        <v>55</v>
      </c>
      <c r="J13" t="s">
        <v>56</v>
      </c>
      <c r="K13" t="s">
        <v>57</v>
      </c>
      <c r="L13" t="s">
        <v>29</v>
      </c>
      <c r="M13" s="12" t="s">
        <v>30</v>
      </c>
      <c r="N13" s="12" t="s">
        <v>31</v>
      </c>
      <c r="O13" s="12" t="s">
        <v>32</v>
      </c>
      <c r="P13" s="12" t="s">
        <v>33</v>
      </c>
      <c r="Q13" s="12" t="s">
        <v>34</v>
      </c>
      <c r="R13" s="12" t="s">
        <v>6</v>
      </c>
      <c r="S13" s="12" t="s">
        <v>7</v>
      </c>
      <c r="T13" s="12" t="s">
        <v>8</v>
      </c>
      <c r="U13" s="12" t="s">
        <v>105</v>
      </c>
    </row>
    <row r="14" spans="1:21">
      <c r="A14" s="12" t="s">
        <v>629</v>
      </c>
      <c r="B14" s="86">
        <f>VPEDRevenues[[#Totals],[Budget 10/11]]-VPEDExpenses[[#Totals],[Budget 10/11]]</f>
        <v>-51680.18</v>
      </c>
      <c r="C14" s="86">
        <f>VPEDRevenues[[#Totals],[Actual 10/11]]-VPEDExpenses[[#Totals],[Actual 10/11]]</f>
        <v>-47104.94</v>
      </c>
      <c r="D14" s="86">
        <f>VPEDRevenues[[#Totals],[Budget 11/12]]-VPEDExpenses[[#Totals],[Budget 11/12]]</f>
        <v>-59237.1</v>
      </c>
      <c r="E14" s="86">
        <f>VPEDRevenues[[#Totals],[Actual 11/12]]-VPEDExpenses[[#Totals],[Actual 11/12]]</f>
        <v>-54541.15</v>
      </c>
      <c r="F14" s="86">
        <f>VPEDRevenues[[#Totals],[Budget 12/13]]-VPEDExpenses[[#Totals],[Budget 12/13]]</f>
        <v>-68297.308000000005</v>
      </c>
      <c r="G14" s="86">
        <f>VPEDRevenues[[#Totals],[Actual 12/13]]-VPEDExpenses[[#Totals],[Actual 12/13]]</f>
        <v>-71050.740000000005</v>
      </c>
      <c r="H14" s="86">
        <f>VPEDRevenues[[#Totals],[Budget 13/14]]-VPEDExpenses[[#Totals],[Budget 13/14]]</f>
        <v>-82168.12</v>
      </c>
      <c r="I14" s="86">
        <f>VPEDRevenues[[#Totals],[Actual 13/14]]-VPEDExpenses[[#Totals],[Actual 13/14]]</f>
        <v>-74754.840000000011</v>
      </c>
      <c r="J14" s="86">
        <f>VPEDRevenues[[#Totals],[Budget 14/15]]-VPEDExpenses[[#Totals],[Budget 14/15]]</f>
        <v>-94643.64</v>
      </c>
      <c r="K14" s="86">
        <f>VPEDRevenues[[#Totals],[Actual 14/15]]-VPEDExpenses[[#Totals],[Actual 14/15]]</f>
        <v>-77532.689999999973</v>
      </c>
      <c r="L14" s="86">
        <f>VPEDRevenues[[#Totals],[Budget 15/16]]-VPEDExpenses[[#Totals],[Budget 15/16]]</f>
        <v>-94987.760000000009</v>
      </c>
      <c r="M14" s="86">
        <f>VPEDRevenues[[#Totals],[Actual 15/16]]-VPEDExpenses[[#Totals],[Actual 15/16]]</f>
        <v>-66749.040000000008</v>
      </c>
      <c r="N14" s="86">
        <f>VPEDRevenues[[#Totals],[Budget 16/17]]-VPEDExpenses[[#Totals],[Budget 16/17]]</f>
        <v>-88005.350760000001</v>
      </c>
      <c r="O14" s="86">
        <f>VPEDRevenues[[#Totals],[Actual 16/17]]-VPEDExpenses[[#Totals],[Actual 16/17]]</f>
        <v>-83781.260000000024</v>
      </c>
      <c r="P14" s="86">
        <f>VPEDRevenues[[#Totals],[Budget 17/18]]-VPEDExpenses[[#Totals],[Budget 17/18]]</f>
        <v>-90938.580000000016</v>
      </c>
      <c r="Q14" s="44">
        <v>-89832.68</v>
      </c>
      <c r="R14" s="86">
        <f>VPEDExpenses[[#Totals],[Budget 18/19]]</f>
        <v>86353.680000000008</v>
      </c>
      <c r="S14" s="86">
        <f>VPEDExpenses[[#Totals],[Actual 18/19]]</f>
        <v>89841.170000000027</v>
      </c>
      <c r="T14" s="86">
        <f>VPEDExpenses[[#Totals],[Budget 19/20]]</f>
        <v>63171.740839999999</v>
      </c>
      <c r="U14" s="388"/>
    </row>
    <row r="15" spans="1:21">
      <c r="A15" s="12" t="s">
        <v>630</v>
      </c>
      <c r="B15" s="86">
        <v>0</v>
      </c>
      <c r="C15" s="86">
        <v>0</v>
      </c>
      <c r="D15" s="86">
        <v>0</v>
      </c>
      <c r="E15" s="86">
        <v>0</v>
      </c>
      <c r="F15" s="86">
        <v>0</v>
      </c>
      <c r="G15" s="86">
        <v>0</v>
      </c>
      <c r="H15" s="86">
        <v>0</v>
      </c>
      <c r="I15" s="86">
        <v>0</v>
      </c>
      <c r="J15" s="86">
        <v>-3491.01</v>
      </c>
      <c r="K15" s="86">
        <v>-3046.53</v>
      </c>
      <c r="L15" s="86">
        <f>SRORevenues[[#Totals],[Budget 15/16]]-SROExpenses[[#Totals],[Budget 15/16]]</f>
        <v>-2791.01</v>
      </c>
      <c r="M15" s="86">
        <v>0</v>
      </c>
      <c r="N15" s="86">
        <f>SRORevenues[[#Totals],[Budget 16/17]]-SROExpenses[[#Totals],[Budget 16/17]]</f>
        <v>-2105</v>
      </c>
      <c r="O15" s="86">
        <f>SRORevenues[[#Totals],[Actual 16/17]]-SROExpenses[[#Totals],[Actual 16/17]]</f>
        <v>-512.61</v>
      </c>
      <c r="P15" s="86">
        <f>SRORevenues[[#Totals],[Budget 17/18]]-SROExpenses[[#Totals],[Budget 17/18]]</f>
        <v>-1900</v>
      </c>
      <c r="Q15" s="86">
        <f>SRORevenues[[#Totals],[Actual 17/18]]-SROExpenses[[#Totals],[Actual 17/18]]</f>
        <v>-1403.02</v>
      </c>
      <c r="R15" s="86">
        <f>SROExpenses[[#Totals],[Budget 18/19]]</f>
        <v>1475</v>
      </c>
      <c r="S15" s="86">
        <f>SROExpenses[[#Totals],[Actual 18/19]]</f>
        <v>1753.12</v>
      </c>
      <c r="T15" s="86">
        <f>SROExpenses[[#Totals],[Budget 19/20]]</f>
        <v>1530</v>
      </c>
      <c r="U15" s="388"/>
    </row>
    <row r="16" spans="1:21">
      <c r="A16" s="12" t="s">
        <v>631</v>
      </c>
      <c r="B16" s="86">
        <f>OUSARevenues[[#Totals],[Budget 10/11]]-OUSAExpenses[[#Totals],[Budget 10/11]]</f>
        <v>-74496.88</v>
      </c>
      <c r="C16" s="86">
        <f>OUSARevenues[[#Totals],[Actual 10/11]]-OUSAExpenses[[#Totals],[Actual 10/11]]</f>
        <v>-75721.239999999991</v>
      </c>
      <c r="D16" s="86">
        <f>OUSARevenues[[#Totals],[Budget 11/12]]-OUSAExpenses[[#Totals],[Budget 11/12]]</f>
        <v>-78882.2</v>
      </c>
      <c r="E16" s="86">
        <f>OUSARevenues[[#Totals],[Actual 11/12]]-OUSAExpenses[[#Totals],[Actual 11/12]]</f>
        <v>-82224.53</v>
      </c>
      <c r="F16" s="86">
        <f>OUSARevenues[[#Totals],[Budget 12/13]]-OUSAExpenses[[#Totals],[Budget 11/122]]</f>
        <v>-84347</v>
      </c>
      <c r="G16" s="86">
        <f>OUSARevenues[[#Totals],[Actual 12/13]]-OUSAExpenses[[#Totals],[Actual 12/13]]</f>
        <v>-88258.52</v>
      </c>
      <c r="H16" s="86">
        <f>OUSARevenues[[#Totals],[Budget 13/14]]-OUSAExpenses[[#Totals],[Budget 13/14]]</f>
        <v>-94300</v>
      </c>
      <c r="I16" s="86">
        <f>OUSARevenues[[#Totals],[Actual 13/14]]-OUSAExpenses[[#Totals],[Actual 13/14]]</f>
        <v>-77573.31</v>
      </c>
      <c r="J16" s="86">
        <f>OUSARevenues[[#Totals],[Budget 14/15]]-OUSAExpenses[[#Totals],[Budget 14/15]]</f>
        <v>-97548</v>
      </c>
      <c r="K16" s="86">
        <f>OUSARevenues[[#Totals],[Actual 14/15]]-OUSAExpenses[[#Totals],[Actual 14/15]]</f>
        <v>-96025.55</v>
      </c>
      <c r="L16" s="86">
        <f>OUSARevenues[[#Totals],[Budget 15/16]]-OUSAExpenses[[#Totals],[Budget 15/16]]</f>
        <v>-99685.331999999995</v>
      </c>
      <c r="M16" s="86">
        <f>OUSARevenues[[#Totals],[Actual 15/16]]-OUSAExpenses[[#Totals],[Actual 15/16]]</f>
        <v>-96120.42</v>
      </c>
      <c r="N16" s="86">
        <f>OUSARevenues[[#Totals],[Budget 16/17]]-OUSAExpenses[[#Totals],[Budget 16/17]]</f>
        <v>-102907</v>
      </c>
      <c r="O16" s="86">
        <f>OUSARevenues[[#Totals],[Actual 16/17]]-OUSAExpenses[[#Totals],[Actual 16/17]]</f>
        <v>-102214.04000000001</v>
      </c>
      <c r="P16" s="86">
        <f>OUSARevenues[[#Totals],[Budget 17/18]]-OUSAExpenses[[#Totals],[Budget 17/18]]</f>
        <v>-101990.88</v>
      </c>
      <c r="Q16" s="86">
        <f>OUSARevenues[[#Totals],[Actual 17/18]]-OUSAExpenses[[#Totals],[Actual 17/18]]</f>
        <v>-105044.87</v>
      </c>
      <c r="R16" s="86">
        <f>OUSAExpenses[[#Totals],[Budget 18/19]]</f>
        <v>109335</v>
      </c>
      <c r="S16" s="86">
        <f>OUSAExpenses[[#Totals],[Actual 18/19]]</f>
        <v>107239.82</v>
      </c>
      <c r="T16" s="86">
        <f>OUSAExpenses[[#Totals],[Budget 19/20]]</f>
        <v>81751.593499999988</v>
      </c>
      <c r="U16" s="388"/>
    </row>
    <row r="17" spans="1:21">
      <c r="A17" s="12" t="s">
        <v>632</v>
      </c>
      <c r="B17" s="86">
        <v>0</v>
      </c>
      <c r="C17" s="86">
        <v>0</v>
      </c>
      <c r="D17" s="86">
        <v>0</v>
      </c>
      <c r="E17" s="86">
        <v>0</v>
      </c>
      <c r="F17" s="86">
        <v>0</v>
      </c>
      <c r="G17" s="86">
        <v>0</v>
      </c>
      <c r="H17" s="86">
        <f>AcademicAffairsRevenues[[#Totals],[Budget 13/14]]-AcademicAffairsExpenses[[#Totals],[Budget 13/14]]</f>
        <v>-3610</v>
      </c>
      <c r="I17" s="86">
        <f>AcademicAffairsRevenues[[#Totals],[Actual 13/14]]-AcademicAffairsExpenses[[#Totals],[Actual 13/14]]</f>
        <v>-1088.56</v>
      </c>
      <c r="J17" s="86">
        <f>AcademicAffairsRevenues[[#Totals],[Budget 14/15]]-AcademicAffairsExpenses[[#Totals],[Budget 14/15]]</f>
        <v>-2120</v>
      </c>
      <c r="K17" s="86">
        <f>AcademicAffairsRevenues[[#Totals],[Actual 14/15]]-AcademicAffairsExpenses[[#Totals],[Actual 14/15]]</f>
        <v>65</v>
      </c>
      <c r="L17" s="86">
        <f>AcademicAffairsRevenues[[#Totals],[Budget 15/16]]-AcademicAffairsExpenses[[#Totals],[Budget 15/16]]</f>
        <v>-1470</v>
      </c>
      <c r="M17" s="86">
        <f>AcademicAffairsRevenues[[#Totals],[Actual 15/16]]-AcademicAffairsExpenses[[#Totals],[Actual 15/16]]</f>
        <v>0</v>
      </c>
      <c r="N17" s="86">
        <f>AcademicAffairsRevenues[[#Totals],[Budget 16/17]]-AcademicAffairsExpenses[[#Totals],[Budget 16/17]]</f>
        <v>-1260</v>
      </c>
      <c r="O17" s="86">
        <f>AcademicAffairsRevenues[[#Totals],[Actual 16/17]]-AcademicAffairsExpenses[[#Totals],[Actual 16/17]]</f>
        <v>-93.360000000000014</v>
      </c>
      <c r="P17" s="86">
        <f>AcademicAffairsRevenues[[#Totals],[Budget 17/18]]-AcademicAffairsExpenses[[#Totals],[Budget 17/18]]</f>
        <v>-825</v>
      </c>
      <c r="Q17" s="86">
        <f>AcademicAffairsRevenues[[#Totals],[Actual 17/18]]-AcademicAffairsExpenses[[#Totals],[Actual 17/18]]</f>
        <v>-563.84999999999991</v>
      </c>
      <c r="R17" s="86">
        <f>AcademicAffairsExpenses[[#Totals],[Budget 18/19]]</f>
        <v>1050</v>
      </c>
      <c r="S17" s="86">
        <f>AcademicAffairsExpenses[[#Totals],[Actual 18/19]]</f>
        <v>168.15</v>
      </c>
      <c r="T17" s="86">
        <f>AcademicAffairsExpenses[[#Totals],[Budget 19/20]]</f>
        <v>35759.33</v>
      </c>
      <c r="U17" s="388"/>
    </row>
    <row r="18" spans="1:21">
      <c r="A18" s="12" t="s">
        <v>633</v>
      </c>
      <c r="B18" s="86"/>
      <c r="C18" s="86"/>
      <c r="D18" s="86"/>
      <c r="E18" s="86"/>
      <c r="F18" s="86"/>
      <c r="G18" s="86"/>
      <c r="H18" s="86"/>
      <c r="I18" s="86"/>
      <c r="J18" s="86"/>
      <c r="K18" s="86"/>
      <c r="L18" s="86"/>
      <c r="M18" s="86"/>
      <c r="N18" s="86"/>
      <c r="O18" s="86"/>
      <c r="P18" s="86"/>
      <c r="Q18" s="388"/>
      <c r="R18" s="86">
        <f>'VP Education (40100)'!T36</f>
        <v>0</v>
      </c>
      <c r="S18" s="86">
        <v>0</v>
      </c>
      <c r="T18" s="388">
        <f>GovernmentAffairsExpenses11281[[#Totals],[Budget 19/20]]</f>
        <v>11903.11</v>
      </c>
      <c r="U18" s="388"/>
    </row>
    <row r="19" spans="1:21">
      <c r="A19" s="12" t="s">
        <v>634</v>
      </c>
      <c r="B19" s="86">
        <v>0</v>
      </c>
      <c r="C19" s="86">
        <v>0</v>
      </c>
      <c r="D19" s="86">
        <v>0</v>
      </c>
      <c r="E19" s="86">
        <v>0</v>
      </c>
      <c r="F19" s="86">
        <v>0</v>
      </c>
      <c r="G19" s="86">
        <v>0</v>
      </c>
      <c r="H19" s="86">
        <f>LocalAffairsRevenues[[#Totals],[Budget 13/14]]-LocalAffairsExpenses[[#Totals],[Budget 13/14]]</f>
        <v>-4810</v>
      </c>
      <c r="I19" s="86">
        <f>LocalAffairsRevenues[[#Totals],[Actual 13/14]]-LocalAffairsExpenses[[#Totals],[Actual 13/14]]</f>
        <v>-34.71</v>
      </c>
      <c r="J19" s="86">
        <f>LocalAffairsRevenues[[#Totals],[Budget 14/15]]-LocalAffairsExpenses[[#Totals],[Budget 14/15]]</f>
        <v>-1760</v>
      </c>
      <c r="K19" s="86">
        <f>LocalAffairsRevenues[[#Totals],[Actual 14/15]]-LocalAffairsExpenses[[#Totals],[Actual 14/15]]</f>
        <v>-123.35</v>
      </c>
      <c r="L19" s="86">
        <f>LocalAffairsRevenues[[#Totals],[Budget 15/16]]-LocalAffairsExpenses[[#Totals],[Budget 15/16]]</f>
        <v>-810</v>
      </c>
      <c r="M19" s="86">
        <f>LocalAffairsRevenues[[#Totals],[Actual 15/16]]-LocalAffairsExpenses[[#Totals],[Actual 15/16]]</f>
        <v>-54.61</v>
      </c>
      <c r="N19" s="86">
        <f>LocalAffairsRevenues[[#Totals],[Budget 16/17]]-LocalAffairsExpenses[[#Totals],[Budget 16/17]]</f>
        <v>-440</v>
      </c>
      <c r="O19" s="86">
        <f>LocalAffairsRevenues[[#Totals],[Actual 16/17]]-LocalAffairsExpenses[[#Totals],[Actual 16/17]]</f>
        <v>0</v>
      </c>
      <c r="P19" s="86">
        <f>LocalAffairsRevenues[[#Totals],[Budget 17/18]]-LocalAffairsExpenses[[#Totals],[Budget 17/18]]</f>
        <v>-600</v>
      </c>
      <c r="Q19" s="86">
        <f>LocalAffairsRevenues[[#Totals],[Actual 17/18]]-LocalAffairsExpenses[[#Totals],[Actual 17/18]]</f>
        <v>-90</v>
      </c>
      <c r="R19" s="86">
        <f>LocalAffairsExpenses[[#Totals],[Budget 18/19]]</f>
        <v>650</v>
      </c>
      <c r="S19" s="86">
        <f>'Local Affairs (41300)'!N28</f>
        <v>-120</v>
      </c>
      <c r="T19" s="86">
        <f>LocalAffairsExpenses[[#Totals],[Budget 19/20]]</f>
        <v>12103.11</v>
      </c>
      <c r="U19" s="388"/>
    </row>
    <row r="20" spans="1:21">
      <c r="A20" t="s">
        <v>13</v>
      </c>
      <c r="B20" s="416">
        <f>SUBTOTAL(109,VPEDSummary[Budget 10/11])</f>
        <v>-126177.06</v>
      </c>
      <c r="C20" s="416">
        <f>SUBTOTAL(109,VPEDSummary[Actual 10/11])</f>
        <v>-122826.18</v>
      </c>
      <c r="D20" s="416">
        <f>SUBTOTAL(109,VPEDSummary[Budget 11/12])</f>
        <v>-138119.29999999999</v>
      </c>
      <c r="E20" s="416">
        <f>SUBTOTAL(109,VPEDSummary[Actual 11/12])</f>
        <v>-136765.68</v>
      </c>
      <c r="F20" s="416">
        <f>SUBTOTAL(109,VPEDSummary[Budget 12/13])</f>
        <v>-152644.30800000002</v>
      </c>
      <c r="G20" s="416">
        <f>SUBTOTAL(109,VPEDSummary[Actual 12/13])</f>
        <v>-159309.26</v>
      </c>
      <c r="H20" s="416">
        <f>SUBTOTAL(109,VPEDSummary[Budget 13/14])</f>
        <v>-184888.12</v>
      </c>
      <c r="I20" s="416">
        <f>SUBTOTAL(109,VPEDSummary[Actual 13/14])</f>
        <v>-153451.42000000001</v>
      </c>
      <c r="J20" s="416">
        <f>SUBTOTAL(109,VPEDSummary[Budget 14/15])</f>
        <v>-199562.65</v>
      </c>
      <c r="K20" s="416">
        <f>SUBTOTAL(109,VPEDSummary[Actuals 14/15])</f>
        <v>-176663.11999999997</v>
      </c>
      <c r="L20" s="416">
        <f>SUBTOTAL(109,VPEDSummary[Budget 15/16])</f>
        <v>-199744.10200000001</v>
      </c>
      <c r="M20" s="416">
        <f>SUBTOTAL(109,VPEDSummary[Actual 15/16])</f>
        <v>-162924.07</v>
      </c>
      <c r="N20" s="416">
        <f>SUBTOTAL(109,VPEDSummary[Budget 16/17])</f>
        <v>-194717.35076</v>
      </c>
      <c r="O20" s="416">
        <f>SUBTOTAL(109,VPEDSummary[Actual 16/17])</f>
        <v>-186601.27000000002</v>
      </c>
      <c r="P20" s="416">
        <f>SUBTOTAL(109,VPEDSummary[Budget 17/18])</f>
        <v>-196254.46000000002</v>
      </c>
      <c r="Q20" s="315">
        <f>SUBTOTAL(109,VPEDSummary[Actual 17/18])</f>
        <v>-196934.42</v>
      </c>
      <c r="R20" s="415">
        <f>SUBTOTAL(109,VPEDSummary[Budget 18/19])</f>
        <v>198863.68</v>
      </c>
      <c r="S20" s="415">
        <f>SUBTOTAL(109,VPEDSummary[Actual 18/19])</f>
        <v>198882.26000000004</v>
      </c>
      <c r="T20" s="415">
        <f>SUBTOTAL(109,VPEDSummary[Budget 19/20])</f>
        <v>206218.88433999999</v>
      </c>
      <c r="U20" s="415"/>
    </row>
    <row r="21" spans="1:21" ht="13.5" thickBot="1"/>
    <row r="22" spans="1:21" ht="15.75" thickBot="1">
      <c r="A22" s="336" t="s">
        <v>44</v>
      </c>
      <c r="B22" s="330">
        <f>B1-B8-B20</f>
        <v>126177.06</v>
      </c>
      <c r="C22" s="330">
        <f>C1-C8-C20</f>
        <v>122826.18</v>
      </c>
      <c r="D22" s="309"/>
      <c r="E22" s="309"/>
      <c r="F22" s="309"/>
      <c r="G22" s="309"/>
      <c r="H22" s="309"/>
      <c r="I22" s="309"/>
      <c r="J22" s="309"/>
      <c r="K22" s="309"/>
      <c r="L22" s="309"/>
      <c r="M22" s="309"/>
      <c r="N22" s="309"/>
      <c r="O22" s="309"/>
      <c r="P22" s="309"/>
      <c r="Q22" s="309"/>
      <c r="R22" s="327">
        <f>VPEDSummary73[[#Totals],[Budget 18/19]]-VPEDSummary[[#Totals],[Budget 18/19]]</f>
        <v>-198863.68</v>
      </c>
      <c r="S22" s="327">
        <f>VPEDSummary73[[#Totals],[Actual 18/19]]-VPEDSummary[[#Totals],[Actual 18/19]]</f>
        <v>-198882.26000000004</v>
      </c>
      <c r="T22" s="327">
        <f>VPEDSummary73[[#Totals],[Budget 19/20]]-VPEDSummary[[#Totals],[Budget 19/20]]</f>
        <v>-206218.88433999999</v>
      </c>
      <c r="U22" s="310"/>
    </row>
    <row r="24" spans="1:21">
      <c r="S24" s="193"/>
    </row>
  </sheetData>
  <customSheetViews>
    <customSheetView guid="{DC934874-AE9C-4DF4-8DA8-4394DABABB42}" showRuler="0" topLeftCell="A4">
      <selection activeCell="G11" sqref="G11"/>
      <pageMargins left="0" right="0" top="0" bottom="0" header="0" footer="0"/>
      <pageSetup orientation="portrait"/>
      <headerFooter alignWithMargins="0"/>
    </customSheetView>
    <customSheetView guid="{7FD89B2E-4983-4B8D-ABA2-A07F685A0C6E}" showRuler="0">
      <selection activeCell="A10" sqref="A10:IV10"/>
      <pageMargins left="0" right="0" top="0" bottom="0" header="0" footer="0"/>
      <pageSetup orientation="portrait"/>
      <headerFooter alignWithMargins="0"/>
    </customSheetView>
    <customSheetView guid="{84D8AC11-A493-4338-8044-6F4154C29695}" showRuler="0">
      <selection activeCell="H13" sqref="H13"/>
      <pageMargins left="0" right="0" top="0" bottom="0" header="0" footer="0"/>
      <pageSetup orientation="portrait"/>
      <headerFooter alignWithMargins="0"/>
    </customSheetView>
    <customSheetView guid="{BB157E55-0A2E-4D9F-A3BF-E83E5442FC27}" showPageBreaks="1" showRuler="0">
      <selection activeCell="H13" sqref="H13"/>
      <pageMargins left="0" right="0" top="0" bottom="0" header="0" footer="0"/>
      <pageSetup orientation="portrait"/>
      <headerFooter alignWithMargins="0"/>
    </customSheetView>
  </customSheetViews>
  <phoneticPr fontId="0" type="noConversion"/>
  <pageMargins left="0" right="0" top="0.98425196850393704" bottom="0.98425196850393704" header="0.51181102362204722" footer="0.51181102362204722"/>
  <pageSetup paperSize="5" orientation="landscape" r:id="rId1"/>
  <headerFooter alignWithMargins="0"/>
  <legacyDrawing r:id="rId2"/>
  <tableParts count="2">
    <tablePart r:id="rId3"/>
    <tablePart r:id="rId4"/>
  </tablePart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tabColor theme="1"/>
    <pageSetUpPr fitToPage="1"/>
  </sheetPr>
  <dimension ref="A1:X52"/>
  <sheetViews>
    <sheetView showGridLines="0" zoomScaleNormal="100" workbookViewId="0">
      <selection activeCell="V13" sqref="V13"/>
    </sheetView>
  </sheetViews>
  <sheetFormatPr defaultColWidth="11.42578125" defaultRowHeight="12.75"/>
  <cols>
    <col min="1" max="1" width="13.85546875" style="8" customWidth="1"/>
    <col min="2" max="2" width="33.5703125" style="8" bestFit="1" customWidth="1"/>
    <col min="3" max="14" width="16.85546875" style="8" hidden="1" customWidth="1"/>
    <col min="15" max="15" width="16" style="138" hidden="1" customWidth="1"/>
    <col min="16" max="16" width="16" style="8" hidden="1" customWidth="1"/>
    <col min="17" max="17" width="18.5703125" style="8" hidden="1" customWidth="1"/>
    <col min="18" max="18" width="19.85546875" style="8" customWidth="1"/>
    <col min="19" max="19" width="17.42578125" style="20" customWidth="1"/>
    <col min="20" max="20" width="18.5703125" style="8" customWidth="1"/>
    <col min="21" max="21" width="18.42578125" style="8" bestFit="1" customWidth="1"/>
    <col min="22" max="22" width="16.85546875" style="8" bestFit="1" customWidth="1"/>
    <col min="23" max="16384" width="11.42578125" style="8"/>
  </cols>
  <sheetData>
    <row r="1" spans="1:24" ht="18">
      <c r="A1" s="534" t="s">
        <v>635</v>
      </c>
      <c r="B1" s="546"/>
    </row>
    <row r="2" spans="1:24">
      <c r="A2" s="28" t="s">
        <v>636</v>
      </c>
    </row>
    <row r="4" spans="1:24">
      <c r="A4" s="48" t="s">
        <v>107</v>
      </c>
      <c r="B4" s="8" t="s">
        <v>47</v>
      </c>
      <c r="C4" s="8" t="s">
        <v>48</v>
      </c>
      <c r="D4" s="8" t="s">
        <v>49</v>
      </c>
      <c r="E4" s="8" t="s">
        <v>50</v>
      </c>
      <c r="F4" s="8" t="s">
        <v>51</v>
      </c>
      <c r="G4" s="8" t="s">
        <v>52</v>
      </c>
      <c r="H4" s="8" t="s">
        <v>53</v>
      </c>
      <c r="I4" s="8" t="s">
        <v>54</v>
      </c>
      <c r="J4" s="8" t="s">
        <v>55</v>
      </c>
      <c r="K4" s="8" t="s">
        <v>56</v>
      </c>
      <c r="L4" s="8" t="s">
        <v>104</v>
      </c>
      <c r="M4" s="8" t="s">
        <v>29</v>
      </c>
      <c r="N4" s="8" t="s">
        <v>637</v>
      </c>
      <c r="O4" s="124" t="s">
        <v>30</v>
      </c>
      <c r="P4" s="8" t="s">
        <v>31</v>
      </c>
      <c r="Q4" s="8" t="s">
        <v>32</v>
      </c>
      <c r="R4" s="8" t="s">
        <v>33</v>
      </c>
      <c r="S4" s="20" t="s">
        <v>34</v>
      </c>
      <c r="T4" s="8" t="s">
        <v>6</v>
      </c>
      <c r="U4" s="8" t="s">
        <v>7</v>
      </c>
      <c r="V4" s="8" t="s">
        <v>8</v>
      </c>
      <c r="W4" s="8" t="s">
        <v>105</v>
      </c>
    </row>
    <row r="5" spans="1:24">
      <c r="A5" s="48"/>
      <c r="B5" s="8" t="s">
        <v>297</v>
      </c>
      <c r="C5" s="44">
        <v>0</v>
      </c>
      <c r="D5" s="44">
        <v>0</v>
      </c>
      <c r="E5" s="44">
        <v>0</v>
      </c>
      <c r="F5" s="44">
        <v>2000</v>
      </c>
      <c r="G5" s="44">
        <v>0</v>
      </c>
      <c r="H5" s="44">
        <v>0</v>
      </c>
      <c r="I5" s="44">
        <v>0</v>
      </c>
      <c r="J5" s="44">
        <v>0</v>
      </c>
      <c r="K5" s="44">
        <v>0</v>
      </c>
      <c r="L5" s="44">
        <v>0</v>
      </c>
      <c r="M5" s="44">
        <v>0</v>
      </c>
      <c r="N5" s="44">
        <v>0</v>
      </c>
      <c r="O5" s="157">
        <v>0</v>
      </c>
      <c r="P5" s="44">
        <v>0</v>
      </c>
    </row>
    <row r="6" spans="1:24" ht="11.25" customHeight="1" thickBot="1">
      <c r="B6" s="8" t="s">
        <v>13</v>
      </c>
      <c r="C6" s="16">
        <f>SUBTOTAL(109,VPEDRevenues[Budget 10/11])</f>
        <v>0</v>
      </c>
      <c r="D6" s="16">
        <f>SUBTOTAL(109,VPEDRevenues[Actual 10/11])</f>
        <v>0</v>
      </c>
      <c r="E6" s="16">
        <f>SUBTOTAL(109,VPEDRevenues[Budget 11/12])</f>
        <v>0</v>
      </c>
      <c r="F6" s="16">
        <f>SUBTOTAL(109,VPEDRevenues[Actual 11/12])</f>
        <v>2000</v>
      </c>
      <c r="G6" s="16">
        <f>SUBTOTAL(109,VPEDRevenues[Budget 12/13])</f>
        <v>0</v>
      </c>
      <c r="H6" s="16">
        <f>SUBTOTAL(109,VPEDRevenues[Actual 12/13])</f>
        <v>0</v>
      </c>
      <c r="I6" s="16">
        <f>SUBTOTAL(109,VPEDRevenues[Budget 13/14])</f>
        <v>0</v>
      </c>
      <c r="J6" s="16">
        <f>SUBTOTAL(109,VPEDRevenues[Actual 13/14])</f>
        <v>0</v>
      </c>
      <c r="K6" s="16">
        <f>SUBTOTAL(109,VPEDRevenues[Budget 14/15])</f>
        <v>0</v>
      </c>
      <c r="L6" s="16">
        <f>SUBTOTAL(109,VPEDRevenues[Actual 14/15])</f>
        <v>0</v>
      </c>
      <c r="M6" s="16">
        <f>SUBTOTAL(109,VPEDRevenues[Budget 15/16])</f>
        <v>0</v>
      </c>
      <c r="N6" s="16">
        <f>SUBTOTAL(109,VPEDRevenues[Actual 14/16])</f>
        <v>0</v>
      </c>
      <c r="O6" s="140">
        <f>SUBTOTAL(109,VPEDRevenues[Actual 15/16])</f>
        <v>0</v>
      </c>
      <c r="P6" s="16">
        <f>SUBTOTAL(109,VPEDRevenues[Budget 16/17])</f>
        <v>0</v>
      </c>
      <c r="Q6" s="16">
        <f>SUBTOTAL(109,VPEDRevenues[Actual 16/17])</f>
        <v>0</v>
      </c>
      <c r="R6" s="16">
        <f>SUBTOTAL(109,VPEDRevenues[Budget 17/18])</f>
        <v>0</v>
      </c>
      <c r="S6" s="20">
        <f>SUBTOTAL(109,VPEDRevenues[Revenues])</f>
        <v>0</v>
      </c>
      <c r="U6" s="222"/>
      <c r="W6"/>
    </row>
    <row r="7" spans="1:24" ht="13.5" thickBot="1">
      <c r="D7" s="80">
        <f>SUBTOTAL(109,VPEDRevenues[Budget 10/11])</f>
        <v>0</v>
      </c>
    </row>
    <row r="8" spans="1:24">
      <c r="A8" s="48" t="s">
        <v>107</v>
      </c>
      <c r="B8" s="8" t="s">
        <v>61</v>
      </c>
      <c r="C8" s="8" t="s">
        <v>48</v>
      </c>
      <c r="D8" s="8" t="s">
        <v>49</v>
      </c>
      <c r="E8" s="8" t="s">
        <v>50</v>
      </c>
      <c r="F8" s="8" t="s">
        <v>51</v>
      </c>
      <c r="G8" s="8" t="s">
        <v>52</v>
      </c>
      <c r="H8" s="8" t="s">
        <v>53</v>
      </c>
      <c r="I8" s="8" t="s">
        <v>54</v>
      </c>
      <c r="J8" s="8" t="s">
        <v>55</v>
      </c>
      <c r="K8" s="8" t="s">
        <v>56</v>
      </c>
      <c r="L8" s="8" t="s">
        <v>104</v>
      </c>
      <c r="M8" s="8" t="s">
        <v>29</v>
      </c>
      <c r="N8" s="8" t="s">
        <v>638</v>
      </c>
      <c r="O8" s="124" t="s">
        <v>30</v>
      </c>
      <c r="P8" s="8" t="s">
        <v>31</v>
      </c>
      <c r="Q8" s="8" t="s">
        <v>32</v>
      </c>
      <c r="R8" s="8" t="s">
        <v>33</v>
      </c>
      <c r="S8" s="20" t="s">
        <v>34</v>
      </c>
      <c r="T8" s="20" t="s">
        <v>6</v>
      </c>
      <c r="U8" s="8" t="s">
        <v>7</v>
      </c>
      <c r="V8" s="20" t="s">
        <v>8</v>
      </c>
      <c r="W8" s="20" t="s">
        <v>105</v>
      </c>
    </row>
    <row r="9" spans="1:24">
      <c r="A9" s="48" t="s">
        <v>639</v>
      </c>
      <c r="B9" s="8" t="s">
        <v>63</v>
      </c>
      <c r="C9" s="86">
        <v>45785.18</v>
      </c>
      <c r="D9" s="86">
        <v>41959.57</v>
      </c>
      <c r="E9" s="86">
        <v>46794.6</v>
      </c>
      <c r="F9" s="86">
        <v>46794.97</v>
      </c>
      <c r="G9" s="86">
        <f>0.9*I9</f>
        <v>43297.308000000005</v>
      </c>
      <c r="H9" s="86">
        <v>48292.25</v>
      </c>
      <c r="I9" s="86">
        <v>48108.12</v>
      </c>
      <c r="J9" s="86">
        <v>50401.41</v>
      </c>
      <c r="K9" s="86">
        <f>4096.97 *12-N9</f>
        <v>49163.64</v>
      </c>
      <c r="L9" s="86">
        <v>45011.54</v>
      </c>
      <c r="M9" s="86">
        <v>46532.4</v>
      </c>
      <c r="O9" s="149">
        <v>45935.68</v>
      </c>
      <c r="P9" s="86">
        <f>VPEDExpenses[[#This Row],[Budget 15/16]]*1.011</f>
        <v>47044.256399999998</v>
      </c>
      <c r="Q9" s="15">
        <v>47044.26</v>
      </c>
      <c r="R9" s="15">
        <v>47702.87</v>
      </c>
      <c r="S9" s="15">
        <v>47726.67</v>
      </c>
      <c r="T9" s="15">
        <v>48227.6</v>
      </c>
      <c r="U9" s="15">
        <v>56298.63</v>
      </c>
      <c r="V9" s="15">
        <f>48227.6*1.023</f>
        <v>49336.834799999997</v>
      </c>
      <c r="W9" s="15"/>
    </row>
    <row r="10" spans="1:24">
      <c r="A10" s="48"/>
      <c r="B10" s="8" t="s">
        <v>64</v>
      </c>
      <c r="C10" s="86"/>
      <c r="D10" s="86"/>
      <c r="E10" s="86"/>
      <c r="F10" s="86"/>
      <c r="G10" s="86"/>
      <c r="H10" s="86"/>
      <c r="I10" s="86"/>
      <c r="J10" s="86"/>
      <c r="K10" s="86"/>
      <c r="L10" s="86"/>
      <c r="M10" s="44">
        <v>4466.76</v>
      </c>
      <c r="O10" s="157"/>
      <c r="P10" s="44">
        <f>VPEDExpenses[[#This Row],[Budget 15/16]]*1.011</f>
        <v>4515.8943599999993</v>
      </c>
      <c r="Q10" s="15">
        <v>4515.8900000000003</v>
      </c>
      <c r="R10" s="15">
        <v>4579.1099999999997</v>
      </c>
      <c r="S10" s="15">
        <v>4579.1099999999997</v>
      </c>
      <c r="T10" s="15">
        <v>4629.4799999999996</v>
      </c>
      <c r="U10" s="15"/>
      <c r="V10" s="15">
        <f>4629.48*1.023</f>
        <v>4735.9580399999995</v>
      </c>
      <c r="W10" s="15"/>
    </row>
    <row r="11" spans="1:24">
      <c r="A11" s="48" t="s">
        <v>640</v>
      </c>
      <c r="B11" s="8" t="s">
        <v>641</v>
      </c>
      <c r="C11" s="86">
        <v>0</v>
      </c>
      <c r="D11" s="86">
        <v>0</v>
      </c>
      <c r="E11" s="86">
        <v>0</v>
      </c>
      <c r="F11" s="86">
        <v>0</v>
      </c>
      <c r="G11" s="86">
        <v>15120</v>
      </c>
      <c r="H11" s="86">
        <v>18119.97</v>
      </c>
      <c r="I11" s="86">
        <v>24960</v>
      </c>
      <c r="J11" s="86">
        <v>19996.12</v>
      </c>
      <c r="K11" s="86">
        <v>35000</v>
      </c>
      <c r="L11" s="86">
        <v>27326.639999999999</v>
      </c>
      <c r="M11" s="86">
        <v>31500</v>
      </c>
      <c r="O11" s="149">
        <v>15738.24</v>
      </c>
      <c r="P11" s="86">
        <v>25000</v>
      </c>
      <c r="Q11" s="15">
        <v>19309.150000000001</v>
      </c>
      <c r="R11" s="15">
        <v>26000</v>
      </c>
      <c r="S11" s="15">
        <v>26083.63</v>
      </c>
      <c r="T11" s="15">
        <v>25675</v>
      </c>
      <c r="U11" s="15">
        <v>28273.03</v>
      </c>
      <c r="V11" s="389">
        <v>0</v>
      </c>
      <c r="W11" s="15"/>
      <c r="X11" s="15"/>
    </row>
    <row r="12" spans="1:24">
      <c r="A12" s="48" t="s">
        <v>642</v>
      </c>
      <c r="B12" s="8" t="s">
        <v>70</v>
      </c>
      <c r="C12" s="86">
        <v>540</v>
      </c>
      <c r="D12" s="86">
        <v>451.11</v>
      </c>
      <c r="E12" s="86">
        <v>600</v>
      </c>
      <c r="F12" s="86">
        <v>311.77999999999997</v>
      </c>
      <c r="G12" s="86">
        <v>600</v>
      </c>
      <c r="H12" s="86">
        <v>308.74</v>
      </c>
      <c r="I12" s="86">
        <v>600</v>
      </c>
      <c r="J12" s="86">
        <v>315.16000000000003</v>
      </c>
      <c r="K12" s="86">
        <v>400</v>
      </c>
      <c r="L12" s="86">
        <v>579.63</v>
      </c>
      <c r="M12" s="86">
        <v>550</v>
      </c>
      <c r="O12" s="149">
        <v>546.86</v>
      </c>
      <c r="P12" s="86">
        <v>546</v>
      </c>
      <c r="Q12" s="15">
        <v>558.39</v>
      </c>
      <c r="R12" s="15">
        <v>558</v>
      </c>
      <c r="S12" s="15">
        <v>284.37</v>
      </c>
      <c r="T12" s="15">
        <v>560</v>
      </c>
      <c r="U12" s="15">
        <v>341.44</v>
      </c>
      <c r="V12" s="15">
        <v>560</v>
      </c>
      <c r="W12" s="15"/>
    </row>
    <row r="13" spans="1:24">
      <c r="A13" s="48" t="s">
        <v>643</v>
      </c>
      <c r="B13" s="8" t="s">
        <v>72</v>
      </c>
      <c r="C13" s="86">
        <v>1500</v>
      </c>
      <c r="D13" s="86">
        <v>1801.22</v>
      </c>
      <c r="E13" s="86">
        <v>1650</v>
      </c>
      <c r="F13" s="86">
        <v>1322.24</v>
      </c>
      <c r="G13" s="86">
        <v>1350</v>
      </c>
      <c r="H13" s="86">
        <v>1373.61</v>
      </c>
      <c r="I13" s="86">
        <v>900</v>
      </c>
      <c r="J13" s="86">
        <v>725.6</v>
      </c>
      <c r="K13" s="86">
        <v>930</v>
      </c>
      <c r="L13" s="86">
        <v>503.33</v>
      </c>
      <c r="M13" s="86">
        <f>67.8*12</f>
        <v>813.59999999999991</v>
      </c>
      <c r="O13" s="149">
        <v>813.6</v>
      </c>
      <c r="P13" s="86">
        <v>813.6</v>
      </c>
      <c r="Q13" s="15">
        <v>813.6</v>
      </c>
      <c r="R13" s="15">
        <v>813</v>
      </c>
      <c r="S13" s="20">
        <v>813.6</v>
      </c>
      <c r="T13" s="20">
        <v>876</v>
      </c>
      <c r="U13" s="20">
        <v>882.6</v>
      </c>
      <c r="V13" s="15">
        <f>876*1.023</f>
        <v>896.14799999999991</v>
      </c>
      <c r="W13" s="15"/>
    </row>
    <row r="14" spans="1:24">
      <c r="A14" s="48" t="s">
        <v>644</v>
      </c>
      <c r="B14" s="8" t="s">
        <v>74</v>
      </c>
      <c r="C14" s="86">
        <v>5</v>
      </c>
      <c r="D14" s="86">
        <v>0</v>
      </c>
      <c r="E14" s="86">
        <v>5</v>
      </c>
      <c r="F14" s="86">
        <v>0</v>
      </c>
      <c r="G14" s="86">
        <v>5</v>
      </c>
      <c r="H14" s="86">
        <v>0</v>
      </c>
      <c r="I14" s="86">
        <v>0</v>
      </c>
      <c r="J14" s="86"/>
      <c r="K14" s="86"/>
      <c r="L14" s="86">
        <v>0</v>
      </c>
      <c r="M14" s="86"/>
      <c r="O14" s="170">
        <v>0</v>
      </c>
      <c r="P14" s="86"/>
      <c r="Q14" s="15"/>
      <c r="R14" s="15"/>
      <c r="T14" s="20"/>
      <c r="U14" s="20"/>
      <c r="V14" s="15"/>
      <c r="W14" s="15"/>
    </row>
    <row r="15" spans="1:24">
      <c r="A15" s="48" t="s">
        <v>645</v>
      </c>
      <c r="B15" s="8" t="s">
        <v>77</v>
      </c>
      <c r="C15" s="86">
        <v>50</v>
      </c>
      <c r="D15" s="86">
        <v>73.569999999999993</v>
      </c>
      <c r="E15" s="86">
        <v>62.5</v>
      </c>
      <c r="F15" s="86">
        <v>118.37</v>
      </c>
      <c r="G15" s="86">
        <v>75</v>
      </c>
      <c r="H15" s="86">
        <v>67.87</v>
      </c>
      <c r="I15" s="86">
        <v>100</v>
      </c>
      <c r="J15" s="86">
        <v>238.44</v>
      </c>
      <c r="K15" s="86">
        <v>100</v>
      </c>
      <c r="L15" s="86">
        <v>351.43</v>
      </c>
      <c r="M15" s="86">
        <v>400</v>
      </c>
      <c r="O15" s="149">
        <v>275.98</v>
      </c>
      <c r="P15" s="86">
        <v>400</v>
      </c>
      <c r="Q15" s="15"/>
      <c r="R15" s="15">
        <v>300</v>
      </c>
      <c r="S15" s="20">
        <v>109.72</v>
      </c>
      <c r="T15" s="20">
        <v>200</v>
      </c>
      <c r="U15" s="20">
        <v>45.55</v>
      </c>
      <c r="V15" s="15">
        <v>100</v>
      </c>
      <c r="W15" s="15"/>
    </row>
    <row r="16" spans="1:24">
      <c r="A16" s="48" t="s">
        <v>646</v>
      </c>
      <c r="B16" s="8" t="s">
        <v>79</v>
      </c>
      <c r="C16" s="86">
        <v>100</v>
      </c>
      <c r="D16" s="86">
        <v>511.95</v>
      </c>
      <c r="E16" s="86">
        <v>250</v>
      </c>
      <c r="F16" s="86">
        <v>117.16</v>
      </c>
      <c r="G16" s="86">
        <v>350</v>
      </c>
      <c r="H16" s="86">
        <v>40.200000000000003</v>
      </c>
      <c r="I16" s="86">
        <v>550</v>
      </c>
      <c r="J16" s="86">
        <v>575.97</v>
      </c>
      <c r="K16" s="86">
        <v>400</v>
      </c>
      <c r="L16" s="86">
        <v>63.29</v>
      </c>
      <c r="M16" s="86">
        <v>425</v>
      </c>
      <c r="O16" s="149">
        <v>43.93</v>
      </c>
      <c r="P16" s="86">
        <v>400</v>
      </c>
      <c r="Q16" s="15">
        <v>55.53</v>
      </c>
      <c r="R16" s="15">
        <v>200</v>
      </c>
      <c r="S16" s="20">
        <v>60.05</v>
      </c>
      <c r="T16" s="20">
        <v>200</v>
      </c>
      <c r="U16" s="20">
        <v>68.489999999999995</v>
      </c>
      <c r="V16" s="15">
        <v>200</v>
      </c>
      <c r="W16" s="15"/>
    </row>
    <row r="17" spans="1:23">
      <c r="A17" s="48" t="s">
        <v>647</v>
      </c>
      <c r="B17" s="8" t="s">
        <v>81</v>
      </c>
      <c r="C17" s="86">
        <v>500</v>
      </c>
      <c r="D17" s="86">
        <v>534.79999999999995</v>
      </c>
      <c r="E17" s="86">
        <v>625</v>
      </c>
      <c r="F17" s="86">
        <v>901.09</v>
      </c>
      <c r="G17" s="86">
        <v>750</v>
      </c>
      <c r="H17" s="86">
        <v>436.16</v>
      </c>
      <c r="I17" s="86">
        <v>1000</v>
      </c>
      <c r="J17" s="86">
        <v>422.56</v>
      </c>
      <c r="K17" s="86">
        <v>850</v>
      </c>
      <c r="L17" s="86">
        <v>352.23</v>
      </c>
      <c r="M17" s="86">
        <v>1200</v>
      </c>
      <c r="O17" s="149">
        <v>534.58000000000004</v>
      </c>
      <c r="P17" s="86">
        <v>1200</v>
      </c>
      <c r="Q17" s="15">
        <v>557.07000000000005</v>
      </c>
      <c r="R17" s="15">
        <v>1000</v>
      </c>
      <c r="S17" s="20">
        <v>378.95</v>
      </c>
      <c r="T17" s="20">
        <v>600</v>
      </c>
      <c r="U17" s="20">
        <v>113.19</v>
      </c>
      <c r="V17" s="15">
        <v>500</v>
      </c>
      <c r="W17" s="15"/>
    </row>
    <row r="18" spans="1:23">
      <c r="A18" s="48" t="s">
        <v>648</v>
      </c>
      <c r="B18" s="8" t="s">
        <v>83</v>
      </c>
      <c r="C18" s="86">
        <v>500</v>
      </c>
      <c r="D18" s="86">
        <v>471.39</v>
      </c>
      <c r="E18" s="86">
        <v>500</v>
      </c>
      <c r="F18" s="86">
        <v>418.03</v>
      </c>
      <c r="G18" s="86">
        <v>500</v>
      </c>
      <c r="H18" s="86">
        <v>649.86</v>
      </c>
      <c r="I18" s="86">
        <v>1200</v>
      </c>
      <c r="J18" s="86">
        <v>635.20000000000005</v>
      </c>
      <c r="K18" s="86">
        <v>600</v>
      </c>
      <c r="L18" s="86">
        <v>1024.98</v>
      </c>
      <c r="M18" s="86">
        <v>1500</v>
      </c>
      <c r="O18" s="149">
        <v>290.39</v>
      </c>
      <c r="P18" s="86">
        <v>2300</v>
      </c>
      <c r="Q18" s="15">
        <v>5698.1</v>
      </c>
      <c r="R18" s="15">
        <v>5000</v>
      </c>
      <c r="S18" s="20">
        <v>5094.2</v>
      </c>
      <c r="T18" s="20">
        <v>3000</v>
      </c>
      <c r="U18" s="20">
        <v>2822.27</v>
      </c>
      <c r="V18" s="15">
        <v>5000</v>
      </c>
      <c r="W18" s="15"/>
    </row>
    <row r="19" spans="1:23">
      <c r="A19" s="48" t="s">
        <v>649</v>
      </c>
      <c r="B19" s="8" t="s">
        <v>89</v>
      </c>
      <c r="C19" s="98">
        <v>1250</v>
      </c>
      <c r="D19" s="103">
        <v>383.52</v>
      </c>
      <c r="E19" s="98">
        <v>7500</v>
      </c>
      <c r="F19" s="86">
        <v>4355.17</v>
      </c>
      <c r="G19" s="98">
        <v>4000</v>
      </c>
      <c r="H19" s="86">
        <v>1633.39</v>
      </c>
      <c r="I19" s="86"/>
      <c r="J19" s="86">
        <v>1321</v>
      </c>
      <c r="K19" s="98">
        <v>6000</v>
      </c>
      <c r="L19" s="86">
        <v>2161.73</v>
      </c>
      <c r="M19" s="98">
        <v>6000</v>
      </c>
      <c r="O19" s="149">
        <v>2569.7800000000002</v>
      </c>
      <c r="P19" s="125">
        <v>1500</v>
      </c>
      <c r="Q19" s="15">
        <v>1000</v>
      </c>
      <c r="R19" s="15">
        <v>1500</v>
      </c>
      <c r="S19" s="20">
        <v>163.95</v>
      </c>
      <c r="T19" s="20">
        <v>800</v>
      </c>
      <c r="U19" s="20">
        <v>962.07</v>
      </c>
      <c r="V19" s="15">
        <v>800</v>
      </c>
      <c r="W19" s="15"/>
    </row>
    <row r="20" spans="1:23">
      <c r="A20" s="48"/>
      <c r="B20" s="46" t="s">
        <v>92</v>
      </c>
      <c r="C20" s="86">
        <v>0</v>
      </c>
      <c r="D20" s="103">
        <v>0</v>
      </c>
      <c r="E20" s="98">
        <v>0</v>
      </c>
      <c r="F20" s="101">
        <v>0</v>
      </c>
      <c r="G20" s="100">
        <v>0</v>
      </c>
      <c r="H20" s="102">
        <v>0</v>
      </c>
      <c r="I20" s="100">
        <v>800</v>
      </c>
      <c r="J20" s="102">
        <v>0</v>
      </c>
      <c r="K20" s="100">
        <v>0</v>
      </c>
      <c r="L20" s="102">
        <v>0</v>
      </c>
      <c r="M20" s="86">
        <v>0</v>
      </c>
      <c r="N20" s="86">
        <v>0</v>
      </c>
      <c r="O20" s="171">
        <v>0</v>
      </c>
      <c r="P20" s="99">
        <v>3000</v>
      </c>
      <c r="Q20" s="15">
        <v>3143.67</v>
      </c>
      <c r="R20" s="15">
        <v>2000</v>
      </c>
      <c r="T20" s="20">
        <v>500</v>
      </c>
      <c r="U20" s="20"/>
      <c r="V20" s="15">
        <v>500</v>
      </c>
      <c r="W20" s="15"/>
    </row>
    <row r="21" spans="1:23">
      <c r="B21" s="52" t="s">
        <v>650</v>
      </c>
      <c r="C21" s="100">
        <v>0</v>
      </c>
      <c r="D21" s="103">
        <v>0</v>
      </c>
      <c r="E21" s="86">
        <v>0</v>
      </c>
      <c r="F21" s="101">
        <v>0</v>
      </c>
      <c r="G21" s="86">
        <v>0</v>
      </c>
      <c r="H21" s="102">
        <v>0</v>
      </c>
      <c r="I21" s="100">
        <v>500</v>
      </c>
      <c r="J21" s="86">
        <v>0</v>
      </c>
      <c r="K21" s="100">
        <v>0</v>
      </c>
      <c r="L21" s="86">
        <v>0</v>
      </c>
      <c r="M21" s="100">
        <v>0</v>
      </c>
      <c r="N21" s="86">
        <v>0</v>
      </c>
      <c r="O21" s="170">
        <v>0</v>
      </c>
      <c r="P21" s="99"/>
      <c r="Q21" s="15"/>
      <c r="R21" s="15"/>
      <c r="T21" s="20"/>
      <c r="U21" s="20"/>
      <c r="V21" s="15"/>
      <c r="W21" s="15"/>
    </row>
    <row r="22" spans="1:23">
      <c r="B22" s="52" t="s">
        <v>651</v>
      </c>
      <c r="C22" s="86">
        <v>0</v>
      </c>
      <c r="D22" s="86">
        <v>0</v>
      </c>
      <c r="E22" s="100">
        <v>0</v>
      </c>
      <c r="F22" s="101">
        <v>0</v>
      </c>
      <c r="G22" s="99">
        <v>0</v>
      </c>
      <c r="H22" s="102">
        <v>0</v>
      </c>
      <c r="I22" s="100">
        <v>200</v>
      </c>
      <c r="J22" s="102">
        <v>0</v>
      </c>
      <c r="K22" s="86">
        <v>0</v>
      </c>
      <c r="L22" s="102">
        <v>0</v>
      </c>
      <c r="M22" s="100">
        <v>0</v>
      </c>
      <c r="N22" s="86">
        <v>0</v>
      </c>
      <c r="O22" s="172">
        <v>0</v>
      </c>
      <c r="P22" s="100">
        <v>0</v>
      </c>
      <c r="Q22" s="15"/>
      <c r="R22" s="15"/>
      <c r="T22" s="20"/>
      <c r="U22" s="20"/>
      <c r="V22" s="15"/>
      <c r="W22" s="15"/>
    </row>
    <row r="23" spans="1:23">
      <c r="A23" s="48"/>
      <c r="B23" s="52" t="s">
        <v>652</v>
      </c>
      <c r="C23" s="99">
        <v>0</v>
      </c>
      <c r="D23" s="102">
        <v>0</v>
      </c>
      <c r="E23" s="100">
        <v>0</v>
      </c>
      <c r="F23" s="101">
        <v>0</v>
      </c>
      <c r="G23" s="99">
        <v>0</v>
      </c>
      <c r="H23" s="102">
        <v>0</v>
      </c>
      <c r="I23" s="98">
        <v>1500</v>
      </c>
      <c r="J23" s="102">
        <v>0</v>
      </c>
      <c r="K23" s="99">
        <v>0</v>
      </c>
      <c r="L23" s="102">
        <v>0</v>
      </c>
      <c r="M23" s="100">
        <v>0</v>
      </c>
      <c r="N23" s="86">
        <v>0</v>
      </c>
      <c r="O23" s="172">
        <v>0</v>
      </c>
      <c r="P23" s="86">
        <v>0</v>
      </c>
      <c r="Q23" s="15"/>
      <c r="R23" s="15"/>
      <c r="T23" s="20"/>
      <c r="U23" s="20"/>
      <c r="V23" s="15"/>
      <c r="W23" s="15"/>
    </row>
    <row r="24" spans="1:23">
      <c r="A24" s="48"/>
      <c r="B24" s="8" t="s">
        <v>653</v>
      </c>
      <c r="C24" s="99">
        <v>0</v>
      </c>
      <c r="D24" s="101">
        <v>0</v>
      </c>
      <c r="E24" s="99">
        <v>0</v>
      </c>
      <c r="F24" s="101">
        <v>0</v>
      </c>
      <c r="G24" s="99">
        <v>0</v>
      </c>
      <c r="H24" s="101">
        <v>0</v>
      </c>
      <c r="I24" s="86">
        <v>500</v>
      </c>
      <c r="J24" s="86">
        <v>0</v>
      </c>
      <c r="K24" s="99">
        <v>0</v>
      </c>
      <c r="L24" s="86">
        <v>0</v>
      </c>
      <c r="M24" s="99">
        <v>0</v>
      </c>
      <c r="N24" s="86">
        <v>0</v>
      </c>
      <c r="O24" s="172">
        <v>0</v>
      </c>
      <c r="P24" s="99">
        <v>0</v>
      </c>
      <c r="Q24" s="15"/>
      <c r="R24" s="15"/>
      <c r="T24" s="20"/>
      <c r="U24" s="20"/>
      <c r="V24" s="15"/>
      <c r="W24" s="15"/>
    </row>
    <row r="25" spans="1:23">
      <c r="A25" s="48"/>
      <c r="B25" s="8" t="s">
        <v>113</v>
      </c>
      <c r="C25" s="86">
        <v>900</v>
      </c>
      <c r="D25" s="86">
        <v>189.55</v>
      </c>
      <c r="E25" s="86">
        <v>0</v>
      </c>
      <c r="F25" s="86">
        <v>1000.54</v>
      </c>
      <c r="G25" s="86">
        <v>0</v>
      </c>
      <c r="H25" s="86">
        <v>0</v>
      </c>
      <c r="I25" s="86">
        <v>0</v>
      </c>
      <c r="J25" s="86">
        <v>0</v>
      </c>
      <c r="K25" s="86">
        <v>0</v>
      </c>
      <c r="L25" s="86">
        <v>0</v>
      </c>
      <c r="M25" s="86">
        <v>0</v>
      </c>
      <c r="N25" s="86">
        <v>0</v>
      </c>
      <c r="O25" s="170">
        <v>0</v>
      </c>
      <c r="P25" s="86">
        <v>0</v>
      </c>
      <c r="Q25" s="15"/>
      <c r="R25" s="15"/>
      <c r="T25" s="20"/>
      <c r="U25" s="20"/>
      <c r="V25" s="15"/>
      <c r="W25" s="15"/>
    </row>
    <row r="26" spans="1:23">
      <c r="A26" s="48" t="s">
        <v>649</v>
      </c>
      <c r="B26" s="8" t="s">
        <v>125</v>
      </c>
      <c r="C26" s="86">
        <v>300</v>
      </c>
      <c r="D26" s="86">
        <v>500</v>
      </c>
      <c r="E26" s="86">
        <v>1000</v>
      </c>
      <c r="F26" s="86">
        <v>1000</v>
      </c>
      <c r="G26" s="86">
        <v>1000</v>
      </c>
      <c r="H26" s="86"/>
      <c r="I26" s="86">
        <v>1000</v>
      </c>
      <c r="J26" s="86">
        <v>0</v>
      </c>
      <c r="K26" s="86">
        <v>1000</v>
      </c>
      <c r="L26" s="86">
        <v>0</v>
      </c>
      <c r="M26" s="86">
        <v>1000</v>
      </c>
      <c r="O26" s="170">
        <v>0</v>
      </c>
      <c r="P26" s="86">
        <v>1085.5999999999999</v>
      </c>
      <c r="Q26" s="15">
        <v>1085.5999999999999</v>
      </c>
      <c r="R26" s="15">
        <v>1085.5999999999999</v>
      </c>
      <c r="S26" s="15">
        <v>1085.5999999999999</v>
      </c>
      <c r="T26" s="15">
        <v>1085.5999999999999</v>
      </c>
      <c r="U26" s="15"/>
      <c r="V26" s="15">
        <f>1085.6/2</f>
        <v>542.79999999999995</v>
      </c>
      <c r="W26" s="15"/>
    </row>
    <row r="27" spans="1:23">
      <c r="A27" s="48" t="s">
        <v>649</v>
      </c>
      <c r="B27" s="8" t="s">
        <v>96</v>
      </c>
      <c r="C27" s="86">
        <v>250</v>
      </c>
      <c r="D27" s="86">
        <v>228.26</v>
      </c>
      <c r="E27" s="86">
        <v>250</v>
      </c>
      <c r="F27" s="86">
        <v>201.8</v>
      </c>
      <c r="G27" s="86">
        <v>250</v>
      </c>
      <c r="H27" s="86">
        <v>128.69</v>
      </c>
      <c r="I27" s="86">
        <v>250</v>
      </c>
      <c r="J27" s="86">
        <v>123.38</v>
      </c>
      <c r="K27" s="86">
        <v>200</v>
      </c>
      <c r="L27" s="86">
        <v>157.88999999999999</v>
      </c>
      <c r="M27" s="86">
        <v>200</v>
      </c>
      <c r="O27" s="170">
        <v>0</v>
      </c>
      <c r="P27" s="86">
        <v>200</v>
      </c>
      <c r="Q27" s="15">
        <v>0</v>
      </c>
      <c r="R27" s="15">
        <v>200</v>
      </c>
      <c r="S27" s="201"/>
      <c r="T27" s="15"/>
      <c r="U27" s="15">
        <v>33.9</v>
      </c>
      <c r="V27" s="15"/>
      <c r="W27" s="15"/>
    </row>
    <row r="28" spans="1:23">
      <c r="A28" s="49" t="s">
        <v>654</v>
      </c>
      <c r="B28" s="8" t="s">
        <v>87</v>
      </c>
      <c r="C28" s="86">
        <v>0</v>
      </c>
      <c r="D28" s="86">
        <v>0</v>
      </c>
      <c r="E28" s="86">
        <v>0</v>
      </c>
      <c r="F28" s="86">
        <v>0</v>
      </c>
      <c r="G28" s="86">
        <v>1000</v>
      </c>
      <c r="H28" s="86">
        <v>0</v>
      </c>
      <c r="I28" s="86">
        <v>0</v>
      </c>
      <c r="J28" s="86">
        <v>0</v>
      </c>
      <c r="K28" s="86">
        <v>0</v>
      </c>
      <c r="L28" s="86"/>
      <c r="M28" s="86">
        <v>400</v>
      </c>
      <c r="O28" s="170">
        <v>0</v>
      </c>
      <c r="P28" s="86">
        <v>0</v>
      </c>
      <c r="Q28" s="15"/>
      <c r="R28" s="15"/>
      <c r="T28" s="20"/>
      <c r="U28" s="20"/>
      <c r="V28" s="15"/>
      <c r="W28" s="15"/>
    </row>
    <row r="29" spans="1:23">
      <c r="A29" s="49" t="s">
        <v>655</v>
      </c>
      <c r="B29" s="8" t="s">
        <v>247</v>
      </c>
      <c r="C29" s="86"/>
      <c r="D29" s="86"/>
      <c r="E29" s="86"/>
      <c r="F29" s="86"/>
      <c r="G29" s="86"/>
      <c r="H29" s="86"/>
      <c r="I29" s="86"/>
      <c r="J29" s="86"/>
      <c r="K29" s="86"/>
      <c r="L29" s="86"/>
      <c r="M29" s="86"/>
      <c r="O29" s="157"/>
      <c r="P29" s="44"/>
      <c r="Q29" s="15"/>
      <c r="R29" s="15"/>
      <c r="S29" s="20">
        <v>191.3</v>
      </c>
      <c r="T29" s="15"/>
      <c r="U29" s="15"/>
      <c r="V29" s="15"/>
      <c r="W29" s="15"/>
    </row>
    <row r="30" spans="1:23">
      <c r="B30" s="222" t="s">
        <v>13</v>
      </c>
      <c r="C30" s="313">
        <f>SUBTOTAL(109,VPEDExpenses[Budget 10/11])</f>
        <v>51680.18</v>
      </c>
      <c r="D30" s="313">
        <f>SUBTOTAL(109,VPEDExpenses[Actual 10/11])</f>
        <v>47104.94</v>
      </c>
      <c r="E30" s="313">
        <f>SUBTOTAL(109,VPEDExpenses[Budget 11/12])</f>
        <v>59237.1</v>
      </c>
      <c r="F30" s="313">
        <f>SUBTOTAL(109,VPEDExpenses[Actual 11/12])</f>
        <v>56541.15</v>
      </c>
      <c r="G30" s="313">
        <f>SUBTOTAL(109,VPEDExpenses[Budget 12/13])</f>
        <v>68297.308000000005</v>
      </c>
      <c r="H30" s="313">
        <f>SUBTOTAL(109,VPEDExpenses[Actual 12/13])</f>
        <v>71050.740000000005</v>
      </c>
      <c r="I30" s="313">
        <f>SUBTOTAL(109,VPEDExpenses[Budget 13/14])</f>
        <v>82168.12</v>
      </c>
      <c r="J30" s="313">
        <f>SUBTOTAL(109,VPEDExpenses[Actual 13/14])</f>
        <v>74754.840000000011</v>
      </c>
      <c r="K30" s="313">
        <f>SUBTOTAL(109,VPEDExpenses[Budget 14/15])</f>
        <v>94643.64</v>
      </c>
      <c r="L30" s="313">
        <f>SUBTOTAL(109,VPEDExpenses[Actual 14/15])</f>
        <v>77532.689999999973</v>
      </c>
      <c r="M30" s="313">
        <f>SUBTOTAL(109,VPEDExpenses[Budget 15/16])</f>
        <v>94987.760000000009</v>
      </c>
      <c r="N30" s="313">
        <f>SUBTOTAL(109,VPEDExpenses[Budget 14/18])</f>
        <v>0</v>
      </c>
      <c r="O30" s="314">
        <f>SUBTOTAL(109,VPEDExpenses[Actual 15/16])</f>
        <v>66749.040000000008</v>
      </c>
      <c r="P30" s="313">
        <f>SUBTOTAL(109,VPEDExpenses[Budget 16/17])</f>
        <v>88005.350760000001</v>
      </c>
      <c r="Q30" s="313">
        <f>SUBTOTAL(109,VPEDExpenses[Actual 16/17])</f>
        <v>83781.260000000024</v>
      </c>
      <c r="R30" s="313">
        <f>SUBTOTAL(109,VPEDExpenses[Budget 17/18])</f>
        <v>90938.580000000016</v>
      </c>
      <c r="S30" s="315">
        <f>SUM(VPEDExpenses[Actual 17/18])</f>
        <v>86571.150000000009</v>
      </c>
      <c r="T30" s="315">
        <f>SUM(VPEDExpenses[Budget 18/19])</f>
        <v>86353.680000000008</v>
      </c>
      <c r="U30" s="315">
        <f>SUM(VPEDExpenses[Actual 18/19])</f>
        <v>89841.170000000027</v>
      </c>
      <c r="V30" s="315">
        <f>SUM(VPEDExpenses[Budget 19/20])</f>
        <v>63171.740839999999</v>
      </c>
      <c r="W30" s="315"/>
    </row>
    <row r="31" spans="1:23" ht="13.5" thickBot="1"/>
    <row r="32" spans="1:23" ht="19.5" thickBot="1">
      <c r="B32" s="452" t="s">
        <v>102</v>
      </c>
      <c r="C32" s="27">
        <f>VPEDRevenues[[#Totals],[Budget 10/11]]-VPEDExpenses[[#Totals],[Budget 10/11]]</f>
        <v>-51680.18</v>
      </c>
      <c r="D32" s="27">
        <f>VPEDRevenues[[#Totals],[Actual 10/11]]-VPEDExpenses[[#Totals],[Actual 10/11]]</f>
        <v>-47104.94</v>
      </c>
      <c r="E32" s="27">
        <f>VPEDRevenues[[#Totals],[Budget 11/12]]-VPEDExpenses[[#Totals],[Budget 11/12]]</f>
        <v>-59237.1</v>
      </c>
      <c r="F32" s="27">
        <f>VPEDRevenues[[#Totals],[Actual 11/12]]-VPEDExpenses[[#Totals],[Actual 11/12]]</f>
        <v>-54541.15</v>
      </c>
      <c r="G32" s="27">
        <f>VPEDRevenues[[#Totals],[Budget 12/13]]-VPEDExpenses[[#Totals],[Budget 12/13]]</f>
        <v>-68297.308000000005</v>
      </c>
      <c r="H32" s="27">
        <f>VPEDRevenues[[#Totals],[Actual 12/13]]-VPEDExpenses[[#Totals],[Actual 12/13]]</f>
        <v>-71050.740000000005</v>
      </c>
      <c r="I32" s="27">
        <f>VPEDRevenues[[#Totals],[Budget 13/14]]-VPEDExpenses[[#Totals],[Budget 13/14]]</f>
        <v>-82168.12</v>
      </c>
      <c r="J32" s="27">
        <f>VPEDRevenues[[#Totals],[Actual 13/14]]-VPEDExpenses[[#Totals],[Actual 13/14]]</f>
        <v>-74754.840000000011</v>
      </c>
      <c r="K32" s="27">
        <f>VPEDRevenues[[#Totals],[Budget 14/15]]-VPEDExpenses[[#Totals],[Budget 14/15]]</f>
        <v>-94643.64</v>
      </c>
      <c r="L32" s="27">
        <f>VPEDRevenues[[#Totals],[Actual 14/15]]-VPEDExpenses[[#Totals],[Actual 14/15]]</f>
        <v>-77532.689999999973</v>
      </c>
      <c r="M32" s="27">
        <f>VPEDRevenues[[#Totals],[Budget 15/16]]-VPEDExpenses[[#Totals],[Budget 15/16]]</f>
        <v>-94987.760000000009</v>
      </c>
      <c r="N32" s="27">
        <f>VPEDRevenues[[#Totals],[Actual 14/16]]-VPEDExpenses[[#Totals],[Budget 14/18]]</f>
        <v>0</v>
      </c>
      <c r="O32" s="27">
        <f>VPEDRevenues[[#Totals],[Actual 15/16]]-VPEDExpenses[[#Totals],[Actual 15/16]]</f>
        <v>-66749.040000000008</v>
      </c>
      <c r="P32" s="66">
        <f>VPEDRevenues[[#Totals],[Budget 16/17]]-VPEDExpenses[[#Totals],[Budget 16/17]]</f>
        <v>-88005.350760000001</v>
      </c>
      <c r="Q32" s="66">
        <f>VPEDRevenues[[#Totals],[Actual 16/17]]-VPEDExpenses[[#Totals],[Actual 16/17]]</f>
        <v>-83781.260000000024</v>
      </c>
      <c r="R32" s="66">
        <f>VPEDRevenues[[#Totals],[Budget 17/18]]-VPEDExpenses[[#Totals],[Budget 17/18]]</f>
        <v>-90938.580000000016</v>
      </c>
      <c r="S32" s="200">
        <f>VPEDRevenues[[#Totals],[Actual 17/18]]-VPEDExpenses[[#Totals],[Actual 17/18]]</f>
        <v>-86571.150000000009</v>
      </c>
      <c r="T32" s="200">
        <f>VPEDRevenues[[#Totals],[Budget 18/19]]-VPEDExpenses[[#Totals],[Budget 18/19]]</f>
        <v>-86353.680000000008</v>
      </c>
      <c r="U32" s="200">
        <f>VPEDRevenues[[#Totals],[Actual 18/19]]-VPEDExpenses[[#Totals],[Actual 18/19]]</f>
        <v>-89841.170000000027</v>
      </c>
      <c r="V32" s="200">
        <f>VPEDRevenues[[#Totals],[Budget 19/20]]-VPEDExpenses[[#Totals],[Budget 19/20]]</f>
        <v>-63171.740839999999</v>
      </c>
      <c r="W32" s="200"/>
    </row>
    <row r="40" spans="6:12">
      <c r="F40" s="105"/>
      <c r="G40" s="104"/>
      <c r="H40" s="104"/>
      <c r="I40" s="104"/>
      <c r="J40" s="104"/>
      <c r="K40" s="104"/>
      <c r="L40" s="104"/>
    </row>
    <row r="41" spans="6:12">
      <c r="F41" s="105"/>
      <c r="G41" s="104"/>
      <c r="H41" s="104"/>
      <c r="I41" s="104"/>
      <c r="J41" s="104"/>
      <c r="K41" s="104"/>
      <c r="L41" s="104"/>
    </row>
    <row r="42" spans="6:12">
      <c r="F42" s="105"/>
      <c r="G42" s="104"/>
      <c r="H42" s="104"/>
      <c r="I42" s="104"/>
      <c r="J42" s="104"/>
      <c r="K42" s="104"/>
      <c r="L42" s="104"/>
    </row>
    <row r="43" spans="6:12">
      <c r="F43" s="105"/>
      <c r="G43" s="104"/>
      <c r="H43" s="104"/>
      <c r="I43" s="104"/>
      <c r="J43" s="104"/>
      <c r="K43" s="104"/>
      <c r="L43" s="104"/>
    </row>
    <row r="44" spans="6:12">
      <c r="F44" s="105"/>
      <c r="G44" s="104"/>
      <c r="H44" s="104"/>
      <c r="I44" s="104"/>
      <c r="J44" s="104"/>
      <c r="K44" s="104"/>
      <c r="L44" s="104"/>
    </row>
    <row r="45" spans="6:12">
      <c r="F45" s="105"/>
      <c r="G45" s="104"/>
      <c r="H45" s="104"/>
      <c r="I45" s="104"/>
      <c r="J45" s="104"/>
      <c r="K45" s="104"/>
      <c r="L45" s="104"/>
    </row>
    <row r="46" spans="6:12">
      <c r="F46" s="105"/>
      <c r="G46" s="104"/>
      <c r="H46" s="104"/>
      <c r="I46" s="104"/>
      <c r="J46" s="104"/>
      <c r="K46" s="104"/>
      <c r="L46" s="104"/>
    </row>
    <row r="47" spans="6:12">
      <c r="F47" s="105"/>
      <c r="G47" s="104"/>
      <c r="H47" s="104"/>
      <c r="I47" s="104"/>
      <c r="J47" s="104"/>
      <c r="K47" s="104"/>
      <c r="L47" s="104"/>
    </row>
    <row r="48" spans="6:12">
      <c r="F48" s="105"/>
      <c r="G48" s="104"/>
      <c r="H48" s="104"/>
      <c r="I48" s="104"/>
      <c r="J48" s="104"/>
      <c r="K48" s="104"/>
      <c r="L48" s="104"/>
    </row>
    <row r="49" spans="6:12">
      <c r="F49" s="105"/>
      <c r="G49" s="104"/>
      <c r="H49" s="104"/>
      <c r="I49" s="104"/>
      <c r="J49" s="104"/>
      <c r="K49" s="104"/>
      <c r="L49" s="104"/>
    </row>
    <row r="50" spans="6:12">
      <c r="F50" s="105"/>
      <c r="G50" s="104"/>
      <c r="H50" s="104"/>
      <c r="I50" s="104"/>
      <c r="J50" s="104"/>
      <c r="K50" s="104"/>
      <c r="L50" s="104"/>
    </row>
    <row r="51" spans="6:12">
      <c r="F51" s="105"/>
      <c r="G51" s="104"/>
      <c r="H51" s="104"/>
      <c r="I51" s="104"/>
      <c r="J51" s="104"/>
      <c r="K51" s="104"/>
      <c r="L51" s="104"/>
    </row>
    <row r="52" spans="6:12">
      <c r="F52" s="105"/>
      <c r="G52" s="104"/>
      <c r="H52" s="104"/>
      <c r="I52" s="104"/>
      <c r="J52" s="104"/>
      <c r="K52" s="104"/>
      <c r="L52" s="104"/>
    </row>
  </sheetData>
  <customSheetViews>
    <customSheetView guid="{DC934874-AE9C-4DF4-8DA8-4394DABABB42}" showRuler="0">
      <selection activeCell="B33" sqref="B33"/>
      <pageMargins left="0" right="0" top="0" bottom="0" header="0" footer="0"/>
      <pageSetup orientation="portrait"/>
      <headerFooter alignWithMargins="0"/>
    </customSheetView>
    <customSheetView guid="{7FD89B2E-4983-4B8D-ABA2-A07F685A0C6E}" showRuler="0">
      <selection activeCell="G19" sqref="G19"/>
      <pageMargins left="0" right="0" top="0" bottom="0" header="0" footer="0"/>
      <pageSetup orientation="portrait"/>
      <headerFooter alignWithMargins="0"/>
    </customSheetView>
    <customSheetView guid="{84D8AC11-A493-4338-8044-6F4154C29695}" showRuler="0">
      <selection activeCell="G19" sqref="G19"/>
      <pageMargins left="0" right="0" top="0" bottom="0" header="0" footer="0"/>
      <pageSetup orientation="portrait"/>
      <headerFooter alignWithMargins="0"/>
    </customSheetView>
    <customSheetView guid="{BB157E55-0A2E-4D9F-A3BF-E83E5442FC27}" showPageBreaks="1" showRuler="0">
      <selection activeCell="G19" sqref="G19"/>
      <pageMargins left="0" right="0" top="0" bottom="0" header="0" footer="0"/>
      <pageSetup orientation="portrait"/>
      <headerFooter alignWithMargins="0"/>
    </customSheetView>
  </customSheetViews>
  <mergeCells count="1">
    <mergeCell ref="A1:B1"/>
  </mergeCells>
  <phoneticPr fontId="0" type="noConversion"/>
  <pageMargins left="0" right="0" top="0.98425196850393704" bottom="0.98425196850393704" header="0.51181102362204722" footer="0.51181102362204722"/>
  <pageSetup paperSize="5" orientation="landscape" r:id="rId1"/>
  <headerFooter alignWithMargins="0"/>
  <legacyDrawing r:id="rId2"/>
  <tableParts count="2">
    <tablePart r:id="rId3"/>
    <tablePart r:id="rId4"/>
  </tableParts>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5">
    <tabColor theme="1"/>
    <pageSetUpPr fitToPage="1"/>
  </sheetPr>
  <dimension ref="A1:S31"/>
  <sheetViews>
    <sheetView showGridLines="0" zoomScale="90" zoomScaleNormal="90" workbookViewId="0">
      <selection activeCell="O23" sqref="O23"/>
    </sheetView>
  </sheetViews>
  <sheetFormatPr defaultColWidth="11.42578125" defaultRowHeight="12.75"/>
  <cols>
    <col min="1" max="1" width="13.85546875" style="8" customWidth="1"/>
    <col min="2" max="2" width="31.7109375" style="8" customWidth="1"/>
    <col min="3" max="7" width="14.5703125" style="8" hidden="1" customWidth="1"/>
    <col min="8" max="8" width="14.5703125" style="106" hidden="1" customWidth="1"/>
    <col min="9" max="9" width="14.5703125" style="8" customWidth="1"/>
    <col min="10" max="10" width="11.7109375" style="8" bestFit="1" customWidth="1"/>
    <col min="11" max="11" width="16.7109375" style="8" customWidth="1"/>
    <col min="12" max="12" width="15" style="8" customWidth="1"/>
    <col min="13" max="13" width="15.42578125" style="8" bestFit="1" customWidth="1"/>
    <col min="14" max="14" width="13.85546875" style="8" customWidth="1"/>
    <col min="15" max="15" width="17" style="8" customWidth="1"/>
    <col min="16" max="16384" width="11.42578125" style="8"/>
  </cols>
  <sheetData>
    <row r="1" spans="1:16" ht="18">
      <c r="A1" s="534" t="s">
        <v>656</v>
      </c>
      <c r="B1" s="534"/>
    </row>
    <row r="2" spans="1:16">
      <c r="A2" s="28" t="s">
        <v>636</v>
      </c>
    </row>
    <row r="4" spans="1:16">
      <c r="B4" s="8" t="s">
        <v>47</v>
      </c>
      <c r="C4" s="8" t="s">
        <v>54</v>
      </c>
      <c r="D4" s="8" t="s">
        <v>55</v>
      </c>
      <c r="E4" s="8" t="s">
        <v>56</v>
      </c>
      <c r="F4" s="8" t="s">
        <v>104</v>
      </c>
      <c r="G4" s="8" t="s">
        <v>29</v>
      </c>
      <c r="H4" s="106" t="s">
        <v>30</v>
      </c>
      <c r="I4" s="8" t="s">
        <v>31</v>
      </c>
      <c r="J4" s="8" t="s">
        <v>32</v>
      </c>
      <c r="K4" s="8" t="s">
        <v>33</v>
      </c>
      <c r="L4" s="8" t="s">
        <v>34</v>
      </c>
      <c r="M4" s="8" t="s">
        <v>6</v>
      </c>
      <c r="N4" s="8" t="s">
        <v>7</v>
      </c>
      <c r="O4" s="8" t="s">
        <v>8</v>
      </c>
      <c r="P4" s="8" t="s">
        <v>105</v>
      </c>
    </row>
    <row r="5" spans="1:16">
      <c r="C5" s="24">
        <v>0</v>
      </c>
      <c r="D5" s="24">
        <v>0</v>
      </c>
      <c r="E5" s="24">
        <v>0</v>
      </c>
      <c r="F5" s="24">
        <v>0</v>
      </c>
      <c r="G5" s="24">
        <v>0</v>
      </c>
      <c r="H5" s="109">
        <v>0</v>
      </c>
      <c r="I5" s="24">
        <v>0</v>
      </c>
      <c r="J5" s="16"/>
      <c r="K5" s="16"/>
      <c r="L5" s="16"/>
      <c r="M5" s="16"/>
      <c r="N5" s="16"/>
      <c r="O5" s="16"/>
      <c r="P5" s="16"/>
    </row>
    <row r="6" spans="1:16">
      <c r="B6" s="8" t="s">
        <v>13</v>
      </c>
      <c r="C6" s="16">
        <f>SUBTOTAL(109,AcademicAffairsRevenues[Budget 13/14])</f>
        <v>0</v>
      </c>
      <c r="D6" s="16">
        <f>SUBTOTAL(109,AcademicAffairsRevenues[Actual 13/14])</f>
        <v>0</v>
      </c>
      <c r="E6" s="16">
        <f>SUBTOTAL(109,AcademicAffairsRevenues[Budget 14/15])</f>
        <v>0</v>
      </c>
      <c r="F6" s="16">
        <f>SUBTOTAL(109,AcademicAffairsRevenues[Actual 14/15])</f>
        <v>0</v>
      </c>
      <c r="G6" s="16">
        <f>SUBTOTAL(109,AcademicAffairsRevenues[Budget 15/16])</f>
        <v>0</v>
      </c>
      <c r="H6" s="108">
        <f>SUBTOTAL(109,AcademicAffairsRevenues[Actual 15/16])</f>
        <v>0</v>
      </c>
      <c r="I6" s="16">
        <f>SUBTOTAL(109,AcademicAffairsRevenues[Budget 16/17])</f>
        <v>0</v>
      </c>
      <c r="J6" s="16">
        <f>SUBTOTAL(109,AcademicAffairsRevenues[Actual 16/17])</f>
        <v>0</v>
      </c>
      <c r="K6" s="16">
        <f>SUBTOTAL(109,AcademicAffairsRevenues[Budget 17/18])</f>
        <v>0</v>
      </c>
      <c r="L6" s="8">
        <f>SUBTOTAL(109,AcademicAffairsRevenues[Revenues])</f>
        <v>0</v>
      </c>
      <c r="M6" s="8">
        <f>SUBTOTAL(109,AcademicAffairsRevenues[Budget 13/14])</f>
        <v>0</v>
      </c>
      <c r="N6" s="222"/>
      <c r="O6" s="8">
        <f>SUBTOTAL(109,AcademicAffairsRevenues[Actual 13/14])</f>
        <v>0</v>
      </c>
    </row>
    <row r="7" spans="1:16">
      <c r="C7" s="39"/>
      <c r="D7" s="39"/>
      <c r="E7" s="39"/>
      <c r="F7" s="39"/>
      <c r="G7" s="39"/>
    </row>
    <row r="8" spans="1:16">
      <c r="B8" s="8" t="s">
        <v>61</v>
      </c>
      <c r="C8" s="8" t="s">
        <v>54</v>
      </c>
      <c r="D8" s="8" t="s">
        <v>55</v>
      </c>
      <c r="E8" s="8" t="s">
        <v>56</v>
      </c>
      <c r="F8" s="8" t="s">
        <v>104</v>
      </c>
      <c r="G8" s="8" t="s">
        <v>29</v>
      </c>
      <c r="H8" s="106" t="s">
        <v>30</v>
      </c>
      <c r="I8" s="8" t="s">
        <v>31</v>
      </c>
      <c r="J8" s="8" t="s">
        <v>32</v>
      </c>
      <c r="K8" s="8" t="s">
        <v>33</v>
      </c>
      <c r="L8" s="8" t="s">
        <v>34</v>
      </c>
      <c r="M8" s="8" t="s">
        <v>6</v>
      </c>
      <c r="N8" s="8" t="s">
        <v>7</v>
      </c>
      <c r="O8" s="8" t="s">
        <v>8</v>
      </c>
      <c r="P8" s="8" t="s">
        <v>105</v>
      </c>
    </row>
    <row r="9" spans="1:16">
      <c r="A9" s="49" t="s">
        <v>657</v>
      </c>
      <c r="B9" s="8" t="s">
        <v>70</v>
      </c>
      <c r="C9" s="24">
        <v>150</v>
      </c>
      <c r="D9" s="24">
        <v>0</v>
      </c>
      <c r="E9" s="24">
        <v>0</v>
      </c>
      <c r="F9" s="24">
        <v>0</v>
      </c>
      <c r="G9" s="24">
        <v>0</v>
      </c>
      <c r="H9" s="109">
        <v>0</v>
      </c>
      <c r="I9" s="24">
        <v>0</v>
      </c>
      <c r="J9" s="24"/>
      <c r="K9" s="24"/>
      <c r="L9" s="24"/>
      <c r="M9" s="24"/>
      <c r="N9" s="24"/>
      <c r="O9" s="24"/>
      <c r="P9" s="44"/>
    </row>
    <row r="10" spans="1:16">
      <c r="A10" s="49" t="s">
        <v>658</v>
      </c>
      <c r="B10" s="8" t="s">
        <v>77</v>
      </c>
      <c r="C10" s="24">
        <v>60</v>
      </c>
      <c r="D10" s="24">
        <v>1.5</v>
      </c>
      <c r="E10" s="24">
        <v>20</v>
      </c>
      <c r="F10" s="24">
        <v>0</v>
      </c>
      <c r="G10" s="24">
        <v>20</v>
      </c>
      <c r="H10" s="109">
        <v>0</v>
      </c>
      <c r="I10" s="24">
        <v>10</v>
      </c>
      <c r="J10" s="24"/>
      <c r="K10" s="24">
        <v>25</v>
      </c>
      <c r="L10" s="24"/>
      <c r="M10" s="24"/>
      <c r="N10" s="24"/>
      <c r="O10" s="24"/>
      <c r="P10" s="44"/>
    </row>
    <row r="11" spans="1:16">
      <c r="A11" s="49" t="s">
        <v>659</v>
      </c>
      <c r="B11" s="222" t="s">
        <v>641</v>
      </c>
      <c r="C11" s="302"/>
      <c r="D11" s="302"/>
      <c r="E11" s="302"/>
      <c r="F11" s="302"/>
      <c r="G11" s="302"/>
      <c r="H11" s="302"/>
      <c r="I11" s="302"/>
      <c r="J11" s="302"/>
      <c r="K11" s="302"/>
      <c r="L11" s="223"/>
      <c r="M11" s="223"/>
      <c r="N11" s="223"/>
      <c r="O11" s="223"/>
      <c r="P11" s="223"/>
    </row>
    <row r="12" spans="1:16">
      <c r="B12" s="26" t="s">
        <v>660</v>
      </c>
      <c r="C12" s="24"/>
      <c r="D12" s="24"/>
      <c r="E12" s="24"/>
      <c r="F12" s="24"/>
      <c r="G12" s="24"/>
      <c r="H12" s="24"/>
      <c r="I12" s="24"/>
      <c r="J12" s="24"/>
      <c r="K12" s="24"/>
      <c r="L12" s="44"/>
      <c r="M12" s="44"/>
      <c r="N12" s="44"/>
      <c r="O12" s="44">
        <v>11253.11</v>
      </c>
      <c r="P12" s="44"/>
    </row>
    <row r="13" spans="1:16">
      <c r="B13" s="26" t="s">
        <v>661</v>
      </c>
      <c r="C13" s="24"/>
      <c r="D13" s="24"/>
      <c r="E13" s="24"/>
      <c r="F13" s="24"/>
      <c r="G13" s="24"/>
      <c r="H13" s="24"/>
      <c r="I13" s="24"/>
      <c r="J13" s="24"/>
      <c r="K13" s="24"/>
      <c r="L13" s="44"/>
      <c r="M13" s="44"/>
      <c r="N13" s="44"/>
      <c r="O13" s="44">
        <v>11253.11</v>
      </c>
      <c r="P13" s="44"/>
    </row>
    <row r="14" spans="1:16">
      <c r="B14" s="26" t="s">
        <v>662</v>
      </c>
      <c r="C14" s="24"/>
      <c r="D14" s="24"/>
      <c r="E14" s="24"/>
      <c r="F14" s="24"/>
      <c r="G14" s="24"/>
      <c r="H14" s="24"/>
      <c r="I14" s="24"/>
      <c r="J14" s="24"/>
      <c r="K14" s="24"/>
      <c r="L14" s="44"/>
      <c r="M14" s="44"/>
      <c r="N14" s="44"/>
      <c r="O14" s="44">
        <v>11253.11</v>
      </c>
      <c r="P14" s="44"/>
    </row>
    <row r="15" spans="1:16">
      <c r="A15" s="49" t="s">
        <v>663</v>
      </c>
      <c r="B15" s="8" t="s">
        <v>113</v>
      </c>
      <c r="C15" s="24">
        <v>400</v>
      </c>
      <c r="D15" s="24">
        <v>300</v>
      </c>
      <c r="E15" s="24">
        <v>800</v>
      </c>
      <c r="F15" s="24">
        <v>-100</v>
      </c>
      <c r="G15" s="24">
        <v>300</v>
      </c>
      <c r="H15" s="109">
        <v>0</v>
      </c>
      <c r="I15" s="24">
        <v>300</v>
      </c>
      <c r="J15" s="24"/>
      <c r="K15" s="24">
        <v>300</v>
      </c>
      <c r="L15" s="24"/>
      <c r="M15" s="24"/>
      <c r="N15" s="24"/>
      <c r="O15" s="24"/>
      <c r="P15" s="44"/>
    </row>
    <row r="16" spans="1:16">
      <c r="A16" s="49" t="s">
        <v>664</v>
      </c>
      <c r="B16" s="8" t="s">
        <v>83</v>
      </c>
      <c r="C16" s="24">
        <v>0</v>
      </c>
      <c r="D16" s="24">
        <v>0</v>
      </c>
      <c r="E16" s="24">
        <v>100</v>
      </c>
      <c r="F16" s="24"/>
      <c r="G16" s="24">
        <v>100</v>
      </c>
      <c r="H16" s="109">
        <v>0</v>
      </c>
      <c r="I16" s="24">
        <v>100</v>
      </c>
      <c r="J16" s="24"/>
      <c r="K16" s="24"/>
      <c r="L16" s="24">
        <v>128.41999999999999</v>
      </c>
      <c r="M16" s="485">
        <v>600</v>
      </c>
      <c r="N16" s="485"/>
      <c r="O16" s="24">
        <v>600</v>
      </c>
      <c r="P16" s="44"/>
    </row>
    <row r="17" spans="1:19">
      <c r="A17" s="49" t="s">
        <v>665</v>
      </c>
      <c r="B17" s="8" t="s">
        <v>116</v>
      </c>
      <c r="C17" s="24">
        <v>500</v>
      </c>
      <c r="D17" s="24">
        <v>0</v>
      </c>
      <c r="E17" s="24">
        <v>0</v>
      </c>
      <c r="F17" s="24">
        <v>0</v>
      </c>
      <c r="G17" s="24">
        <v>0</v>
      </c>
      <c r="H17" s="109">
        <v>0</v>
      </c>
      <c r="I17" s="24">
        <v>0</v>
      </c>
      <c r="J17" s="24"/>
      <c r="K17" s="24"/>
      <c r="L17" s="24">
        <v>300</v>
      </c>
      <c r="M17" s="24"/>
      <c r="N17" s="24"/>
      <c r="O17" s="24"/>
      <c r="P17" s="44"/>
    </row>
    <row r="18" spans="1:19">
      <c r="A18" s="49" t="s">
        <v>663</v>
      </c>
      <c r="B18" s="8" t="s">
        <v>89</v>
      </c>
      <c r="C18" s="24">
        <v>0</v>
      </c>
      <c r="D18" s="87">
        <v>428.65</v>
      </c>
      <c r="E18" s="24">
        <v>0</v>
      </c>
      <c r="F18" s="87">
        <v>35</v>
      </c>
      <c r="G18" s="29">
        <v>0</v>
      </c>
      <c r="H18" s="110">
        <v>0</v>
      </c>
      <c r="I18" s="455">
        <v>0</v>
      </c>
      <c r="J18" s="24"/>
      <c r="K18" s="24"/>
      <c r="L18" s="24">
        <v>135.43</v>
      </c>
      <c r="M18" s="24"/>
      <c r="N18" s="302"/>
      <c r="O18" s="24"/>
      <c r="P18" s="44"/>
    </row>
    <row r="19" spans="1:19">
      <c r="A19" s="49" t="s">
        <v>663</v>
      </c>
      <c r="B19" s="8" t="s">
        <v>316</v>
      </c>
      <c r="C19" s="95">
        <v>250</v>
      </c>
      <c r="D19" s="87">
        <v>0</v>
      </c>
      <c r="E19" s="95">
        <v>100</v>
      </c>
      <c r="F19" s="24">
        <v>0</v>
      </c>
      <c r="G19" s="95">
        <v>100</v>
      </c>
      <c r="H19" s="110">
        <v>0</v>
      </c>
      <c r="I19" s="455">
        <v>200</v>
      </c>
      <c r="J19" s="24"/>
      <c r="K19" s="24"/>
      <c r="L19" s="24"/>
      <c r="M19" s="24">
        <v>125</v>
      </c>
      <c r="N19" s="24">
        <v>168.15</v>
      </c>
      <c r="O19" s="24">
        <v>625</v>
      </c>
      <c r="P19" s="44"/>
    </row>
    <row r="20" spans="1:19">
      <c r="A20" s="49"/>
      <c r="B20" s="431" t="s">
        <v>666</v>
      </c>
      <c r="C20" s="95">
        <v>500</v>
      </c>
      <c r="D20" s="24">
        <v>0</v>
      </c>
      <c r="E20" s="95">
        <v>100</v>
      </c>
      <c r="F20" s="97">
        <v>0</v>
      </c>
      <c r="G20" s="95">
        <v>100</v>
      </c>
      <c r="H20" s="110">
        <v>0</v>
      </c>
      <c r="I20" s="455">
        <v>0</v>
      </c>
      <c r="J20" s="24"/>
      <c r="K20" s="24">
        <v>100</v>
      </c>
      <c r="L20" s="24"/>
      <c r="M20" s="24"/>
      <c r="N20" s="24"/>
      <c r="O20" s="24"/>
      <c r="P20" s="44"/>
    </row>
    <row r="21" spans="1:19">
      <c r="A21" s="49"/>
      <c r="B21" s="431" t="s">
        <v>667</v>
      </c>
      <c r="C21" s="24"/>
      <c r="D21" s="24"/>
      <c r="E21" s="29"/>
      <c r="F21" s="97"/>
      <c r="G21" s="24"/>
      <c r="H21" s="87"/>
      <c r="I21" s="455"/>
      <c r="J21" s="24"/>
      <c r="K21" s="24"/>
      <c r="L21" s="44"/>
      <c r="M21" s="44"/>
      <c r="N21" s="44"/>
      <c r="O21" s="44">
        <v>300</v>
      </c>
      <c r="P21" s="44"/>
    </row>
    <row r="22" spans="1:19">
      <c r="A22" s="49"/>
      <c r="B22" s="431" t="s">
        <v>668</v>
      </c>
      <c r="C22" s="24">
        <v>250</v>
      </c>
      <c r="D22" s="97">
        <v>0</v>
      </c>
      <c r="E22" s="29">
        <v>250</v>
      </c>
      <c r="F22" s="97">
        <v>0</v>
      </c>
      <c r="G22" s="24">
        <v>100</v>
      </c>
      <c r="H22" s="110">
        <v>0</v>
      </c>
      <c r="I22" s="455">
        <v>100</v>
      </c>
      <c r="J22" s="24">
        <v>67.400000000000006</v>
      </c>
      <c r="K22" s="24">
        <v>100</v>
      </c>
      <c r="L22" s="24"/>
      <c r="M22" s="24">
        <v>150</v>
      </c>
      <c r="N22" s="24"/>
      <c r="O22" s="24">
        <v>300</v>
      </c>
      <c r="P22" s="44"/>
    </row>
    <row r="23" spans="1:19">
      <c r="A23" s="49"/>
      <c r="B23" s="8" t="s">
        <v>669</v>
      </c>
      <c r="C23" s="24"/>
      <c r="D23" s="24"/>
      <c r="E23" s="24"/>
      <c r="F23" s="24"/>
      <c r="G23" s="24"/>
      <c r="H23" s="24"/>
      <c r="I23" s="455"/>
      <c r="J23" s="24"/>
      <c r="K23" s="24"/>
      <c r="L23" s="24"/>
      <c r="M23" s="24">
        <v>100</v>
      </c>
      <c r="N23" s="24"/>
      <c r="O23" s="24">
        <v>100</v>
      </c>
      <c r="P23" s="44"/>
    </row>
    <row r="24" spans="1:19">
      <c r="A24" s="49" t="s">
        <v>670</v>
      </c>
      <c r="B24" s="96" t="s">
        <v>671</v>
      </c>
      <c r="C24" s="94">
        <v>500</v>
      </c>
      <c r="D24" s="24">
        <v>0</v>
      </c>
      <c r="E24" s="24">
        <v>0</v>
      </c>
      <c r="F24" s="24">
        <v>0</v>
      </c>
      <c r="G24" s="94">
        <v>0</v>
      </c>
      <c r="H24" s="109">
        <v>0</v>
      </c>
      <c r="I24" s="455">
        <v>0</v>
      </c>
      <c r="J24" s="24"/>
      <c r="K24" s="24"/>
      <c r="L24" s="24"/>
      <c r="M24" s="24"/>
      <c r="N24" s="24"/>
      <c r="O24" s="24"/>
      <c r="P24" s="44"/>
    </row>
    <row r="25" spans="1:19">
      <c r="B25" s="8" t="s">
        <v>672</v>
      </c>
      <c r="C25" s="24">
        <v>500</v>
      </c>
      <c r="D25" s="24">
        <v>0</v>
      </c>
      <c r="E25" s="24">
        <v>0</v>
      </c>
      <c r="F25" s="24">
        <v>0</v>
      </c>
      <c r="G25" s="24">
        <v>0</v>
      </c>
      <c r="H25" s="109">
        <v>0</v>
      </c>
      <c r="I25" s="24">
        <v>0</v>
      </c>
      <c r="J25" s="24"/>
      <c r="K25" s="24"/>
      <c r="L25" s="24"/>
      <c r="M25" s="24"/>
      <c r="N25" s="24"/>
      <c r="O25" s="24"/>
      <c r="P25" s="44"/>
    </row>
    <row r="26" spans="1:19">
      <c r="B26" s="8" t="s">
        <v>673</v>
      </c>
      <c r="C26" s="24">
        <v>0</v>
      </c>
      <c r="D26" s="24">
        <v>0</v>
      </c>
      <c r="E26" s="24">
        <v>500</v>
      </c>
      <c r="F26" s="24">
        <v>0</v>
      </c>
      <c r="G26" s="24">
        <v>500</v>
      </c>
      <c r="H26" s="109">
        <v>0</v>
      </c>
      <c r="I26" s="24">
        <v>400</v>
      </c>
      <c r="J26" s="24"/>
      <c r="K26" s="24">
        <v>300</v>
      </c>
      <c r="L26" s="24"/>
      <c r="M26" s="24"/>
      <c r="N26" s="24"/>
      <c r="O26" s="24"/>
      <c r="P26" s="44"/>
    </row>
    <row r="27" spans="1:19">
      <c r="B27" s="8" t="s">
        <v>247</v>
      </c>
      <c r="C27" s="24">
        <v>0</v>
      </c>
      <c r="D27" s="24">
        <v>0</v>
      </c>
      <c r="E27" s="24">
        <v>0</v>
      </c>
      <c r="F27" s="24">
        <v>0</v>
      </c>
      <c r="G27" s="24">
        <v>0</v>
      </c>
      <c r="H27" s="109">
        <v>0</v>
      </c>
      <c r="I27" s="24">
        <v>0</v>
      </c>
      <c r="J27" s="24"/>
      <c r="K27" s="24"/>
      <c r="L27" s="24"/>
      <c r="M27" s="24"/>
      <c r="N27" s="24"/>
      <c r="O27" s="24"/>
      <c r="P27" s="44"/>
      <c r="S27" s="486"/>
    </row>
    <row r="28" spans="1:19">
      <c r="B28" s="8" t="s">
        <v>674</v>
      </c>
      <c r="C28" s="24">
        <v>500</v>
      </c>
      <c r="D28" s="24">
        <v>358.41</v>
      </c>
      <c r="E28" s="24">
        <v>250</v>
      </c>
      <c r="F28" s="24">
        <v>0</v>
      </c>
      <c r="G28" s="24">
        <v>250</v>
      </c>
      <c r="H28" s="109">
        <v>0</v>
      </c>
      <c r="I28" s="24">
        <v>150</v>
      </c>
      <c r="J28" s="24">
        <v>25.96</v>
      </c>
      <c r="K28" s="24"/>
      <c r="L28" s="24"/>
      <c r="M28" s="24">
        <v>75</v>
      </c>
      <c r="N28" s="24"/>
      <c r="O28" s="24">
        <v>75</v>
      </c>
      <c r="P28" s="44"/>
    </row>
    <row r="29" spans="1:19">
      <c r="B29" s="222" t="s">
        <v>13</v>
      </c>
      <c r="C29" s="315">
        <f>SUBTOTAL(109,AcademicAffairsExpenses[Budget 13/14])</f>
        <v>3610</v>
      </c>
      <c r="D29" s="315">
        <f>SUBTOTAL(109,AcademicAffairsExpenses[Actual 13/14])</f>
        <v>1088.56</v>
      </c>
      <c r="E29" s="315">
        <f>SUBTOTAL(109,AcademicAffairsExpenses[Budget 14/15])</f>
        <v>2120</v>
      </c>
      <c r="F29" s="315">
        <f>SUBTOTAL(109,AcademicAffairsExpenses[Actual 14/15])</f>
        <v>-65</v>
      </c>
      <c r="G29" s="315">
        <f>SUBTOTAL(109,AcademicAffairsExpenses[Budget 15/16])</f>
        <v>1470</v>
      </c>
      <c r="H29" s="414">
        <f>SUBTOTAL(109,AcademicAffairsExpenses[Actual 15/16])</f>
        <v>0</v>
      </c>
      <c r="I29" s="315">
        <f>SUBTOTAL(109,AcademicAffairsExpenses[Budget 16/17])</f>
        <v>1260</v>
      </c>
      <c r="J29" s="315">
        <f>SUBTOTAL(109,AcademicAffairsExpenses[Actual 16/17])</f>
        <v>93.360000000000014</v>
      </c>
      <c r="K29" s="315">
        <f>SUBTOTAL(109,AcademicAffairsExpenses[Budget 17/18])</f>
        <v>825</v>
      </c>
      <c r="L29" s="315">
        <f>SUM(AcademicAffairsExpenses[Actual 17/18])</f>
        <v>563.84999999999991</v>
      </c>
      <c r="M29" s="315">
        <f>SUBTOTAL(109,AcademicAffairsExpenses[Budget 18/19])</f>
        <v>1050</v>
      </c>
      <c r="N29" s="315">
        <f>SUBTOTAL(109,AcademicAffairsExpenses[Actual 18/19])</f>
        <v>168.15</v>
      </c>
      <c r="O29" s="315">
        <f>SUM(AcademicAffairsExpenses[Budget 19/20])</f>
        <v>35759.33</v>
      </c>
      <c r="P29" s="315"/>
    </row>
    <row r="30" spans="1:19" ht="13.5" thickBot="1"/>
    <row r="31" spans="1:19" ht="19.5" thickBot="1">
      <c r="B31" s="452" t="s">
        <v>102</v>
      </c>
      <c r="C31" s="27">
        <f>AcademicAffairsRevenues[[#Totals],[Budget 13/14]]-AcademicAffairsExpenses[[#Totals],[Budget 13/14]]</f>
        <v>-3610</v>
      </c>
      <c r="D31" s="27">
        <f>AcademicAffairsRevenues[[#Totals],[Actual 13/14]]-AcademicAffairsExpenses[[#Totals],[Actual 13/14]]</f>
        <v>-1088.56</v>
      </c>
      <c r="E31" s="27">
        <f>AcademicAffairsRevenues[[#Totals],[Budget 14/15]]-AcademicAffairsExpenses[[#Totals],[Budget 14/15]]</f>
        <v>-2120</v>
      </c>
      <c r="F31" s="27">
        <f>AcademicAffairsRevenues[[#Totals],[Actual 14/15]]-AcademicAffairsExpenses[[#Totals],[Actual 14/15]]</f>
        <v>65</v>
      </c>
      <c r="G31" s="27">
        <f>AcademicAffairsRevenues[[#Totals],[Budget 15/16]]-AcademicAffairsExpenses[[#Totals],[Budget 15/16]]</f>
        <v>-1470</v>
      </c>
      <c r="H31" s="107">
        <f>AcademicAffairsRevenues[[#Totals],[Actual 15/16]]-AcademicAffairsExpenses[[#Totals],[Actual 15/16]]</f>
        <v>0</v>
      </c>
      <c r="I31" s="360">
        <f>AcademicAffairsRevenues[[#Totals],[Budget 16/17]]-AcademicAffairsExpenses[[#Totals],[Budget 16/17]]</f>
        <v>-1260</v>
      </c>
      <c r="J31" s="360">
        <f>AcademicAffairsRevenues[[#Totals],[Actual 16/17]]-AcademicAffairsExpenses[[#Totals],[Actual 16/17]]</f>
        <v>-93.360000000000014</v>
      </c>
      <c r="K31" s="360">
        <f>AcademicAffairsRevenues[[#Totals],[Budget 17/18]]-AcademicAffairsExpenses[[#Totals],[Budget 17/18]]</f>
        <v>-825</v>
      </c>
      <c r="L31" s="360">
        <f>AcademicAffairsRevenues[[#Totals],[Actual 17/18]]-AcademicAffairsExpenses[[#Totals],[Actual 17/18]]</f>
        <v>-563.84999999999991</v>
      </c>
      <c r="M31" s="360">
        <f>AcademicAffairsRevenues[[#Totals],[Budget 18/19]]-AcademicAffairsExpenses[[#Totals],[Budget 18/19]]</f>
        <v>-1050</v>
      </c>
      <c r="N31" s="360">
        <f>AcademicAffairsRevenues[[#Totals],[Actual 18/19]]-AcademicAffairsExpenses[[#Totals],[Actual 18/19]]</f>
        <v>-168.15</v>
      </c>
      <c r="O31" s="360">
        <f>AcademicAffairsRevenues[[#Totals],[Budget 19/20]]-AcademicAffairsExpenses[[#Totals],[Budget 19/20]]</f>
        <v>-35759.33</v>
      </c>
      <c r="P31" s="66"/>
    </row>
  </sheetData>
  <mergeCells count="1">
    <mergeCell ref="A1:B1"/>
  </mergeCells>
  <pageMargins left="0.7" right="0.7" top="0.75" bottom="0.75" header="0.3" footer="0.3"/>
  <pageSetup scale="78" orientation="landscape" r:id="rId1"/>
  <legacyDrawing r:id="rId2"/>
  <tableParts count="2">
    <tablePart r:id="rId3"/>
    <tablePart r:id="rId4"/>
  </tablePart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1"/>
  </sheetPr>
  <dimension ref="A1:R27"/>
  <sheetViews>
    <sheetView workbookViewId="0">
      <selection activeCell="S26" sqref="S26"/>
    </sheetView>
  </sheetViews>
  <sheetFormatPr defaultColWidth="11.42578125" defaultRowHeight="12.75"/>
  <cols>
    <col min="1" max="1" width="13.85546875" style="8" customWidth="1"/>
    <col min="2" max="2" width="35.5703125" style="8" customWidth="1"/>
    <col min="3" max="9" width="14.5703125" style="8" hidden="1" customWidth="1"/>
    <col min="10" max="10" width="12.42578125" style="8" hidden="1" customWidth="1"/>
    <col min="11" max="13" width="14.5703125" style="8" hidden="1" customWidth="1"/>
    <col min="14" max="14" width="14.5703125" style="106" hidden="1" customWidth="1"/>
    <col min="15" max="15" width="14.5703125" style="8" hidden="1" customWidth="1"/>
    <col min="16" max="17" width="0" style="8" hidden="1" customWidth="1"/>
    <col min="18" max="18" width="17" style="8" customWidth="1"/>
    <col min="19" max="16384" width="11.42578125" style="8"/>
  </cols>
  <sheetData>
    <row r="1" spans="1:18" ht="18">
      <c r="A1" s="534" t="s">
        <v>675</v>
      </c>
      <c r="B1" s="534"/>
    </row>
    <row r="2" spans="1:18">
      <c r="A2" s="28" t="s">
        <v>636</v>
      </c>
    </row>
    <row r="4" spans="1:18">
      <c r="B4" s="8" t="s">
        <v>47</v>
      </c>
      <c r="C4" s="8" t="s">
        <v>48</v>
      </c>
      <c r="D4" s="8" t="s">
        <v>49</v>
      </c>
      <c r="E4" s="8" t="s">
        <v>50</v>
      </c>
      <c r="F4" s="8" t="s">
        <v>51</v>
      </c>
      <c r="G4" s="8" t="s">
        <v>52</v>
      </c>
      <c r="H4" s="8" t="s">
        <v>53</v>
      </c>
      <c r="I4" s="8" t="s">
        <v>54</v>
      </c>
      <c r="J4" s="8" t="s">
        <v>55</v>
      </c>
      <c r="K4" s="8" t="s">
        <v>56</v>
      </c>
      <c r="L4" s="8" t="s">
        <v>104</v>
      </c>
      <c r="M4" s="8" t="s">
        <v>29</v>
      </c>
      <c r="N4" s="106" t="s">
        <v>30</v>
      </c>
      <c r="O4" s="8" t="s">
        <v>31</v>
      </c>
      <c r="P4" s="222" t="s">
        <v>33</v>
      </c>
      <c r="Q4" s="222" t="s">
        <v>6</v>
      </c>
      <c r="R4" s="222" t="s">
        <v>8</v>
      </c>
    </row>
    <row r="5" spans="1:18">
      <c r="C5" s="17">
        <v>0</v>
      </c>
      <c r="D5" s="17">
        <v>0</v>
      </c>
      <c r="E5" s="17">
        <v>0</v>
      </c>
      <c r="F5" s="17">
        <v>0</v>
      </c>
      <c r="G5" s="17">
        <v>0</v>
      </c>
      <c r="H5" s="17">
        <v>0</v>
      </c>
      <c r="I5" s="17">
        <v>0</v>
      </c>
      <c r="J5" s="17">
        <v>0</v>
      </c>
      <c r="K5" s="17">
        <v>0</v>
      </c>
      <c r="L5" s="17">
        <v>0</v>
      </c>
      <c r="M5" s="17">
        <v>0</v>
      </c>
      <c r="N5" s="368">
        <v>0</v>
      </c>
      <c r="O5" s="17">
        <v>0</v>
      </c>
      <c r="P5" s="384"/>
      <c r="Q5" s="386"/>
      <c r="R5" s="386"/>
    </row>
    <row r="6" spans="1:18">
      <c r="B6" s="8" t="s">
        <v>13</v>
      </c>
      <c r="C6" s="16">
        <f>SUBTOTAL(109,GovernmentAffairsRevenue11180[Budget 10/11])</f>
        <v>0</v>
      </c>
      <c r="D6" s="16">
        <f>SUBTOTAL(109,GovernmentAffairsRevenue11180[Actual 10/11])</f>
        <v>0</v>
      </c>
      <c r="E6" s="16">
        <f>SUBTOTAL(109,GovernmentAffairsRevenue11180[Budget 11/12])</f>
        <v>0</v>
      </c>
      <c r="F6" s="16">
        <f>SUBTOTAL(109,GovernmentAffairsRevenue11180[Actual 11/12])</f>
        <v>0</v>
      </c>
      <c r="G6" s="16">
        <f>SUBTOTAL(109,GovernmentAffairsRevenue11180[Budget 12/13])</f>
        <v>0</v>
      </c>
      <c r="H6" s="16">
        <f>SUBTOTAL(109,GovernmentAffairsRevenue11180[Actual 12/13])</f>
        <v>0</v>
      </c>
      <c r="I6" s="16">
        <f>SUBTOTAL(109,GovernmentAffairsRevenue11180[Budget 13/14])</f>
        <v>0</v>
      </c>
      <c r="J6" s="16">
        <f>SUBTOTAL(109,GovernmentAffairsRevenue11180[Actual 13/14])</f>
        <v>0</v>
      </c>
      <c r="K6" s="16">
        <f>SUBTOTAL(109,GovernmentAffairsRevenue11180[Budget 14/15])</f>
        <v>0</v>
      </c>
      <c r="L6" s="16">
        <f>SUBTOTAL(109,GovernmentAffairsRevenue11180[Actual 14/15])</f>
        <v>0</v>
      </c>
      <c r="M6" s="16">
        <f>SUBTOTAL(109,GovernmentAffairsRevenue11180[Budget 15/16])</f>
        <v>0</v>
      </c>
      <c r="N6" s="108">
        <f>SUBTOTAL(109,GovernmentAffairsRevenue11180[Actual 15/16])</f>
        <v>0</v>
      </c>
      <c r="O6" s="16">
        <f>SUBTOTAL(109,GovernmentAffairsRevenue11180[Budget 16/17])</f>
        <v>0</v>
      </c>
      <c r="P6" s="222"/>
      <c r="Q6" s="222"/>
      <c r="R6" s="222"/>
    </row>
    <row r="7" spans="1:18">
      <c r="C7" s="271"/>
      <c r="D7" s="271"/>
      <c r="E7" s="271"/>
      <c r="F7" s="271"/>
      <c r="G7" s="271"/>
      <c r="H7" s="271"/>
      <c r="I7" s="271"/>
      <c r="J7" s="271"/>
      <c r="K7" s="271"/>
      <c r="L7" s="271"/>
      <c r="M7" s="271"/>
    </row>
    <row r="8" spans="1:18">
      <c r="A8" s="48" t="s">
        <v>107</v>
      </c>
      <c r="B8" s="8" t="s">
        <v>61</v>
      </c>
      <c r="C8" s="8" t="s">
        <v>48</v>
      </c>
      <c r="D8" s="8" t="s">
        <v>49</v>
      </c>
      <c r="E8" s="8" t="s">
        <v>50</v>
      </c>
      <c r="F8" s="8" t="s">
        <v>51</v>
      </c>
      <c r="G8" s="8" t="s">
        <v>52</v>
      </c>
      <c r="H8" s="8" t="s">
        <v>53</v>
      </c>
      <c r="I8" s="8" t="s">
        <v>54</v>
      </c>
      <c r="J8" s="8" t="s">
        <v>55</v>
      </c>
      <c r="K8" s="8" t="s">
        <v>56</v>
      </c>
      <c r="L8" s="8" t="s">
        <v>104</v>
      </c>
      <c r="M8" s="8" t="s">
        <v>29</v>
      </c>
      <c r="N8" s="106" t="s">
        <v>30</v>
      </c>
      <c r="O8" s="8" t="s">
        <v>676</v>
      </c>
      <c r="P8" s="222" t="s">
        <v>677</v>
      </c>
      <c r="Q8" s="222" t="s">
        <v>6</v>
      </c>
      <c r="R8" s="222" t="s">
        <v>8</v>
      </c>
    </row>
    <row r="9" spans="1:18">
      <c r="A9" s="48"/>
      <c r="B9" s="8" t="s">
        <v>77</v>
      </c>
      <c r="C9" s="17">
        <v>0</v>
      </c>
      <c r="D9" s="17">
        <v>0</v>
      </c>
      <c r="E9" s="17">
        <v>0</v>
      </c>
      <c r="F9" s="17">
        <v>0</v>
      </c>
      <c r="G9" s="17">
        <v>0</v>
      </c>
      <c r="H9" s="17">
        <v>0</v>
      </c>
      <c r="I9" s="17">
        <v>0</v>
      </c>
      <c r="J9" s="17"/>
      <c r="K9" s="17">
        <v>0</v>
      </c>
      <c r="L9" s="17">
        <v>0</v>
      </c>
      <c r="M9" s="17">
        <v>0</v>
      </c>
      <c r="N9" s="368">
        <v>0</v>
      </c>
      <c r="O9" s="17">
        <v>0</v>
      </c>
      <c r="P9" s="385"/>
      <c r="Q9" s="385"/>
      <c r="R9" s="385"/>
    </row>
    <row r="10" spans="1:18">
      <c r="A10" s="49" t="s">
        <v>678</v>
      </c>
      <c r="B10" s="8" t="s">
        <v>679</v>
      </c>
      <c r="C10" s="24"/>
      <c r="D10" s="24"/>
      <c r="E10" s="24"/>
      <c r="F10" s="24"/>
      <c r="G10" s="24"/>
      <c r="H10" s="24"/>
      <c r="I10" s="24"/>
      <c r="J10" s="24"/>
      <c r="K10" s="24"/>
      <c r="L10" s="24"/>
      <c r="M10" s="24"/>
      <c r="N10" s="24"/>
      <c r="O10" s="24"/>
      <c r="P10" s="387"/>
      <c r="Q10" s="387"/>
      <c r="R10" s="387"/>
    </row>
    <row r="11" spans="1:18">
      <c r="A11" s="48"/>
      <c r="B11" s="26" t="s">
        <v>680</v>
      </c>
      <c r="C11" s="24"/>
      <c r="D11" s="24"/>
      <c r="E11" s="24"/>
      <c r="F11" s="24"/>
      <c r="G11" s="24"/>
      <c r="H11" s="24"/>
      <c r="I11" s="24"/>
      <c r="J11" s="24"/>
      <c r="K11" s="24"/>
      <c r="L11" s="24"/>
      <c r="M11" s="24"/>
      <c r="N11" s="24"/>
      <c r="O11" s="24"/>
      <c r="P11" s="387"/>
      <c r="Q11" s="387"/>
      <c r="R11" s="387">
        <v>11253.11</v>
      </c>
    </row>
    <row r="12" spans="1:18">
      <c r="A12" s="48"/>
      <c r="B12" s="8" t="s">
        <v>113</v>
      </c>
      <c r="C12" s="17">
        <v>300</v>
      </c>
      <c r="D12" s="17">
        <v>600</v>
      </c>
      <c r="E12" s="17">
        <v>2400</v>
      </c>
      <c r="F12" s="17">
        <v>965</v>
      </c>
      <c r="G12" s="17">
        <v>2900</v>
      </c>
      <c r="H12" s="17">
        <v>2725</v>
      </c>
      <c r="I12" s="17">
        <v>0</v>
      </c>
      <c r="J12" s="17">
        <v>-275</v>
      </c>
      <c r="K12" s="17">
        <v>0</v>
      </c>
      <c r="L12" s="17">
        <v>0</v>
      </c>
      <c r="M12" s="17">
        <v>0</v>
      </c>
      <c r="N12" s="368">
        <v>0</v>
      </c>
      <c r="O12" s="17">
        <v>0</v>
      </c>
      <c r="P12" s="385"/>
      <c r="Q12" s="385"/>
      <c r="R12" s="385"/>
    </row>
    <row r="13" spans="1:18">
      <c r="A13" s="48"/>
      <c r="B13" s="8" t="s">
        <v>83</v>
      </c>
      <c r="C13" s="24"/>
      <c r="D13" s="24"/>
      <c r="E13" s="24"/>
      <c r="F13" s="24"/>
      <c r="G13" s="24"/>
      <c r="H13" s="24"/>
      <c r="I13" s="24"/>
      <c r="J13" s="24"/>
      <c r="K13" s="24"/>
      <c r="L13" s="24"/>
      <c r="M13" s="24"/>
      <c r="N13" s="24"/>
      <c r="O13" s="24"/>
      <c r="P13" s="387"/>
      <c r="Q13" s="387"/>
      <c r="R13" s="387">
        <v>200</v>
      </c>
    </row>
    <row r="14" spans="1:18">
      <c r="A14" s="48"/>
      <c r="B14" s="55" t="s">
        <v>681</v>
      </c>
      <c r="C14" s="17">
        <v>3000</v>
      </c>
      <c r="D14" s="383">
        <v>944.99</v>
      </c>
      <c r="E14" s="17">
        <v>3000</v>
      </c>
      <c r="F14" s="17">
        <v>1312.32</v>
      </c>
      <c r="G14" s="17">
        <v>3000</v>
      </c>
      <c r="H14" s="383">
        <v>314.68</v>
      </c>
      <c r="I14" s="17">
        <v>0</v>
      </c>
      <c r="J14" s="383">
        <v>0</v>
      </c>
      <c r="K14" s="377">
        <v>0</v>
      </c>
      <c r="L14" s="383">
        <v>1167.6199999999999</v>
      </c>
      <c r="M14" s="377">
        <v>0</v>
      </c>
      <c r="N14" s="382">
        <v>1222.95</v>
      </c>
      <c r="O14" s="377">
        <v>0</v>
      </c>
      <c r="P14" s="385"/>
      <c r="Q14" s="385"/>
      <c r="R14" s="385">
        <v>300</v>
      </c>
    </row>
    <row r="15" spans="1:18" ht="13.5" thickBot="1">
      <c r="A15" s="48"/>
      <c r="B15" s="8" t="s">
        <v>682</v>
      </c>
      <c r="C15" s="380">
        <v>0</v>
      </c>
      <c r="D15" s="17">
        <v>0</v>
      </c>
      <c r="E15" s="380">
        <v>0</v>
      </c>
      <c r="F15" s="381">
        <v>0</v>
      </c>
      <c r="G15" s="380">
        <v>0</v>
      </c>
      <c r="H15" s="17">
        <v>0</v>
      </c>
      <c r="I15" s="380">
        <v>1500</v>
      </c>
      <c r="J15" s="379">
        <v>0</v>
      </c>
      <c r="K15" s="377">
        <v>2500</v>
      </c>
      <c r="L15" s="17">
        <v>0</v>
      </c>
      <c r="M15" s="378">
        <v>1000</v>
      </c>
      <c r="N15" s="371">
        <v>0</v>
      </c>
      <c r="O15" s="377">
        <v>200</v>
      </c>
      <c r="P15" s="385"/>
      <c r="Q15" s="385"/>
      <c r="R15" s="385"/>
    </row>
    <row r="16" spans="1:18">
      <c r="B16" s="376" t="s">
        <v>683</v>
      </c>
      <c r="C16" s="372">
        <v>0</v>
      </c>
      <c r="D16" s="373">
        <v>0</v>
      </c>
      <c r="E16" s="375">
        <v>0</v>
      </c>
      <c r="F16" s="373">
        <v>0</v>
      </c>
      <c r="G16" s="372">
        <v>0</v>
      </c>
      <c r="H16" s="373">
        <v>0</v>
      </c>
      <c r="I16" s="17">
        <v>1500</v>
      </c>
      <c r="J16" s="17">
        <v>0</v>
      </c>
      <c r="K16" s="374">
        <v>1500</v>
      </c>
      <c r="L16" s="373">
        <v>0</v>
      </c>
      <c r="M16" s="372">
        <v>750</v>
      </c>
      <c r="N16" s="371">
        <v>0</v>
      </c>
      <c r="O16" s="370">
        <v>1000</v>
      </c>
      <c r="P16" s="385"/>
      <c r="Q16" s="385"/>
      <c r="R16" s="385"/>
    </row>
    <row r="17" spans="1:18">
      <c r="B17" s="192" t="s">
        <v>247</v>
      </c>
      <c r="C17" s="369">
        <v>100</v>
      </c>
      <c r="D17" s="17">
        <v>0</v>
      </c>
      <c r="E17" s="17">
        <v>0</v>
      </c>
      <c r="F17" s="17">
        <v>0</v>
      </c>
      <c r="G17" s="369">
        <v>0</v>
      </c>
      <c r="H17" s="17">
        <v>0</v>
      </c>
      <c r="I17" s="369">
        <v>0</v>
      </c>
      <c r="J17" s="17">
        <v>0</v>
      </c>
      <c r="K17" s="17">
        <v>0</v>
      </c>
      <c r="L17" s="17">
        <v>0</v>
      </c>
      <c r="M17" s="369">
        <v>0</v>
      </c>
      <c r="N17" s="368">
        <v>0</v>
      </c>
      <c r="O17" s="17">
        <v>0</v>
      </c>
      <c r="P17" s="385"/>
      <c r="Q17" s="385"/>
      <c r="R17" s="385"/>
    </row>
    <row r="18" spans="1:18">
      <c r="B18" s="8" t="s">
        <v>684</v>
      </c>
      <c r="C18" s="17">
        <v>0</v>
      </c>
      <c r="D18" s="17">
        <v>0</v>
      </c>
      <c r="E18" s="17">
        <v>700</v>
      </c>
      <c r="F18" s="17">
        <v>0</v>
      </c>
      <c r="G18" s="17">
        <v>600</v>
      </c>
      <c r="H18" s="17">
        <v>0</v>
      </c>
      <c r="I18" s="17">
        <v>0</v>
      </c>
      <c r="J18" s="17">
        <v>0</v>
      </c>
      <c r="K18" s="17">
        <v>0</v>
      </c>
      <c r="L18" s="17">
        <v>125.82</v>
      </c>
      <c r="M18" s="17">
        <v>400</v>
      </c>
      <c r="N18" s="368">
        <v>0</v>
      </c>
      <c r="O18" s="17">
        <v>0</v>
      </c>
      <c r="P18" s="385"/>
      <c r="Q18" s="385"/>
      <c r="R18" s="385">
        <v>150</v>
      </c>
    </row>
    <row r="19" spans="1:18">
      <c r="B19" s="8" t="s">
        <v>13</v>
      </c>
      <c r="C19" s="16">
        <f>SUBTOTAL(109,GovernmentAffairsExpenses11281[Budget 10/11])</f>
        <v>3400</v>
      </c>
      <c r="D19" s="16">
        <f>SUBTOTAL(109,GovernmentAffairsExpenses11281[Actual 10/11])</f>
        <v>1544.99</v>
      </c>
      <c r="E19" s="16">
        <f>SUBTOTAL(109,GovernmentAffairsExpenses11281[Budget 11/12])</f>
        <v>6100</v>
      </c>
      <c r="F19" s="16">
        <f>SUBTOTAL(109,GovernmentAffairsExpenses11281[Actual 11/12])</f>
        <v>2277.3199999999997</v>
      </c>
      <c r="G19" s="16">
        <f>SUBTOTAL(109,GovernmentAffairsExpenses11281[Budget 12/13])</f>
        <v>6500</v>
      </c>
      <c r="H19" s="16">
        <f>SUBTOTAL(109,GovernmentAffairsExpenses11281[Actual 12/13])</f>
        <v>3039.68</v>
      </c>
      <c r="I19" s="16">
        <f>SUBTOTAL(109,GovernmentAffairsExpenses11281[Budget 13/14])</f>
        <v>3000</v>
      </c>
      <c r="J19" s="16">
        <f>SUBTOTAL(109,GovernmentAffairsExpenses11281[Actual 13/14])</f>
        <v>-275</v>
      </c>
      <c r="K19" s="16">
        <f>SUBTOTAL(109,GovernmentAffairsExpenses11281[Budget 14/15])</f>
        <v>4000</v>
      </c>
      <c r="L19" s="16">
        <f>SUBTOTAL(109,GovernmentAffairsExpenses11281[Actual 14/15])</f>
        <v>1293.4399999999998</v>
      </c>
      <c r="M19" s="16">
        <f>SUBTOTAL(109,GovernmentAffairsExpenses11281[Budget 15/16])</f>
        <v>2150</v>
      </c>
      <c r="N19" s="108">
        <f>SUBTOTAL(109,GovernmentAffairsExpenses11281[Actual 15/16])</f>
        <v>1222.95</v>
      </c>
      <c r="O19" s="16">
        <f>SUBTOTAL(109,GovernmentAffairsExpenses11281[Budget 17/118])</f>
        <v>1200</v>
      </c>
      <c r="R19" s="16">
        <f>SUM(R9:R18)</f>
        <v>11903.11</v>
      </c>
    </row>
    <row r="20" spans="1:18" ht="13.5" thickBot="1">
      <c r="A20" s="26"/>
      <c r="C20" s="17"/>
      <c r="D20" s="17"/>
      <c r="E20" s="17"/>
      <c r="F20" s="17"/>
      <c r="G20" s="17"/>
      <c r="H20" s="17"/>
      <c r="I20" s="17"/>
      <c r="J20" s="17"/>
      <c r="K20" s="17"/>
      <c r="L20" s="17"/>
      <c r="M20" s="17"/>
    </row>
    <row r="21" spans="1:18" ht="19.5" thickBot="1">
      <c r="B21" s="452" t="s">
        <v>102</v>
      </c>
      <c r="C21" s="27">
        <f>GovernmentAffairsRevenue11180[[#Totals],[Budget 10/11]]-GovernmentAffairsExpenses11281[[#Totals],[Budget 10/11]]</f>
        <v>-3400</v>
      </c>
      <c r="D21" s="27">
        <f>GovernmentAffairsRevenue11180[[#Totals],[Actual 10/11]]-GovernmentAffairsExpenses11281[[#Totals],[Actual 10/11]]</f>
        <v>-1544.99</v>
      </c>
      <c r="E21" s="27">
        <f>GovernmentAffairsRevenue11180[[#Totals],[Budget 11/12]]-GovernmentAffairsExpenses11281[[#Totals],[Budget 11/12]]</f>
        <v>-6100</v>
      </c>
      <c r="F21" s="27">
        <f>GovernmentAffairsRevenue11180[[#Totals],[Actual 11/12]]-GovernmentAffairsExpenses11281[[#Totals],[Actual 11/12]]</f>
        <v>-2277.3199999999997</v>
      </c>
      <c r="G21" s="27">
        <f>GovernmentAffairsRevenue11180[[#Totals],[Budget 12/13]]-GovernmentAffairsExpenses11281[[#Totals],[Budget 12/13]]</f>
        <v>-6500</v>
      </c>
      <c r="H21" s="27">
        <f>GovernmentAffairsRevenue11180[[#Totals],[Actual 12/13]]-GovernmentAffairsExpenses11281[[#Totals],[Actual 12/13]]</f>
        <v>-3039.68</v>
      </c>
      <c r="I21" s="27">
        <f>GovernmentAffairsRevenue11180[[#Totals],[Budget 13/14]]-GovernmentAffairsExpenses11281[[#Totals],[Budget 13/14]]</f>
        <v>-3000</v>
      </c>
      <c r="J21" s="27">
        <f>GovernmentAffairsRevenue11180[[#Totals],[Actual 13/14]]-GovernmentAffairsExpenses11281[[#Totals],[Actual 13/14]]</f>
        <v>275</v>
      </c>
      <c r="K21" s="27">
        <f>GovernmentAffairsRevenue11180[[#Totals],[Budget 14/15]]-GovernmentAffairsExpenses11281[[#Totals],[Budget 14/15]]</f>
        <v>-4000</v>
      </c>
      <c r="L21" s="27">
        <f>GovernmentAffairsRevenue11180[[#Totals],[Actual 14/15]]-GovernmentAffairsExpenses11281[[#Totals],[Actual 14/15]]</f>
        <v>-1293.4399999999998</v>
      </c>
      <c r="M21" s="66">
        <f>GovernmentAffairsRevenue11180[[#Totals],[Budget 15/16]]-GovernmentAffairsExpenses11281[[#Totals],[Budget 15/16]]</f>
        <v>-2150</v>
      </c>
      <c r="N21" s="366">
        <f>GovernmentAffairsRevenue11180[[#Totals],[Actual 15/16]]-GovernmentAffairsExpenses11281[[#Totals],[Actual 15/16]]</f>
        <v>-1222.95</v>
      </c>
      <c r="O21" s="66">
        <f>GovernmentAffairsRevenue11180[[#Totals],[Budget 16/17]]-GovernmentAffairsExpenses11281[[#Totals],[Budget 17/118]]</f>
        <v>-1200</v>
      </c>
      <c r="P21" s="66">
        <f>GovernmentAffairsRevenue11180[[#Totals],[Budget 17/18]]-GovernmentAffairsExpenses11281[[#Totals],[Budget 16/18]]</f>
        <v>0</v>
      </c>
      <c r="Q21" s="66">
        <f>GovernmentAffairsRevenue11180[[#Totals],[Budget 18/19]]-GovernmentAffairsExpenses11281[[#Totals],[Budget 18/19]]</f>
        <v>0</v>
      </c>
      <c r="R21" s="66">
        <f>GovernmentAffairsRevenue11180[[#Totals],[Budget 19/20]]-GovernmentAffairsExpenses11281[[#Totals],[Budget 19/20]]</f>
        <v>-11903.11</v>
      </c>
    </row>
    <row r="22" spans="1:18">
      <c r="C22" s="271"/>
      <c r="D22" s="271"/>
      <c r="E22" s="271"/>
      <c r="F22" s="271"/>
      <c r="G22" s="271"/>
      <c r="H22" s="271"/>
      <c r="I22" s="271"/>
      <c r="J22" s="271"/>
      <c r="K22" s="271"/>
      <c r="L22" s="271"/>
      <c r="M22" s="271"/>
    </row>
    <row r="23" spans="1:18">
      <c r="B23" s="26"/>
      <c r="C23" s="20"/>
      <c r="D23" s="20"/>
      <c r="E23" s="20"/>
      <c r="F23" s="20"/>
      <c r="G23" s="20"/>
      <c r="H23" s="20"/>
      <c r="I23" s="20"/>
      <c r="J23" s="20"/>
      <c r="K23" s="20"/>
      <c r="L23" s="20"/>
      <c r="M23" s="20"/>
    </row>
    <row r="27" spans="1:18">
      <c r="E27" s="365"/>
    </row>
  </sheetData>
  <mergeCells count="1">
    <mergeCell ref="A1:B1"/>
  </mergeCells>
  <pageMargins left="0.7" right="0.7" top="0.75" bottom="0.75" header="0.3" footer="0.3"/>
  <legacyDrawing r:id="rId1"/>
  <tableParts count="2">
    <tablePart r:id="rId2"/>
    <tablePart r:id="rId3"/>
  </tableParts>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tabColor theme="1"/>
  </sheetPr>
  <dimension ref="A1:P28"/>
  <sheetViews>
    <sheetView showGridLines="0" zoomScale="90" zoomScaleNormal="90" workbookViewId="0">
      <selection activeCell="B12" sqref="B12"/>
    </sheetView>
  </sheetViews>
  <sheetFormatPr defaultColWidth="11.42578125" defaultRowHeight="12.75"/>
  <cols>
    <col min="1" max="1" width="13.85546875" style="8" customWidth="1"/>
    <col min="2" max="2" width="36" style="8" bestFit="1" customWidth="1"/>
    <col min="3" max="7" width="19" style="8" hidden="1" customWidth="1"/>
    <col min="8" max="8" width="19" style="106" hidden="1" customWidth="1"/>
    <col min="9" max="9" width="19" style="8" hidden="1" customWidth="1"/>
    <col min="10" max="10" width="0" style="8" hidden="1" customWidth="1"/>
    <col min="11" max="11" width="16.5703125" style="8" customWidth="1"/>
    <col min="12" max="12" width="16.7109375" style="8" customWidth="1"/>
    <col min="13" max="13" width="18.28515625" style="8" customWidth="1"/>
    <col min="14" max="14" width="18.85546875" style="8" customWidth="1"/>
    <col min="15" max="15" width="19.42578125" style="8" customWidth="1"/>
    <col min="16" max="16384" width="11.42578125" style="8"/>
  </cols>
  <sheetData>
    <row r="1" spans="1:16" ht="18">
      <c r="A1" s="534" t="s">
        <v>685</v>
      </c>
      <c r="B1" s="534"/>
    </row>
    <row r="2" spans="1:16">
      <c r="A2" s="28" t="s">
        <v>636</v>
      </c>
    </row>
    <row r="4" spans="1:16">
      <c r="B4" s="8" t="s">
        <v>47</v>
      </c>
      <c r="C4" s="8" t="s">
        <v>54</v>
      </c>
      <c r="D4" s="8" t="s">
        <v>55</v>
      </c>
      <c r="E4" s="8" t="s">
        <v>56</v>
      </c>
      <c r="F4" s="8" t="s">
        <v>104</v>
      </c>
      <c r="G4" s="8" t="s">
        <v>29</v>
      </c>
      <c r="H4" s="106" t="s">
        <v>30</v>
      </c>
      <c r="I4" s="8" t="s">
        <v>31</v>
      </c>
      <c r="J4" s="8" t="s">
        <v>32</v>
      </c>
      <c r="K4" s="8" t="s">
        <v>33</v>
      </c>
      <c r="L4" s="8" t="s">
        <v>34</v>
      </c>
      <c r="M4" s="8" t="s">
        <v>6</v>
      </c>
      <c r="N4" s="8" t="s">
        <v>7</v>
      </c>
      <c r="O4" s="8" t="s">
        <v>8</v>
      </c>
      <c r="P4" s="8" t="s">
        <v>105</v>
      </c>
    </row>
    <row r="5" spans="1:16">
      <c r="C5" s="16">
        <v>0</v>
      </c>
      <c r="D5" s="16">
        <v>0</v>
      </c>
      <c r="E5" s="16">
        <v>0</v>
      </c>
      <c r="F5" s="16">
        <v>0</v>
      </c>
      <c r="G5" s="16">
        <v>0</v>
      </c>
      <c r="H5" s="108">
        <v>0</v>
      </c>
      <c r="I5" s="16">
        <v>0</v>
      </c>
      <c r="J5" s="16"/>
      <c r="K5" s="16"/>
      <c r="L5" s="16"/>
      <c r="M5" s="16"/>
      <c r="N5" s="16"/>
      <c r="O5" s="16"/>
      <c r="P5" s="16"/>
    </row>
    <row r="6" spans="1:16">
      <c r="B6" s="8" t="s">
        <v>13</v>
      </c>
      <c r="C6" s="16">
        <f>SUBTOTAL(109,LocalAffairsRevenues[Budget 13/14])</f>
        <v>0</v>
      </c>
      <c r="D6" s="16">
        <f>SUBTOTAL(109,LocalAffairsRevenues[Actual 13/14])</f>
        <v>0</v>
      </c>
      <c r="E6" s="16">
        <f>SUBTOTAL(109,LocalAffairsRevenues[Budget 14/15])</f>
        <v>0</v>
      </c>
      <c r="F6" s="16">
        <f>SUBTOTAL(109,LocalAffairsRevenues[Actual 14/15])</f>
        <v>0</v>
      </c>
      <c r="G6" s="16">
        <f>SUBTOTAL(109,LocalAffairsRevenues[Budget 15/16])</f>
        <v>0</v>
      </c>
      <c r="H6" s="108">
        <f>SUBTOTAL(109,LocalAffairsRevenues[Actual 15/16])</f>
        <v>0</v>
      </c>
      <c r="I6" s="16">
        <f>SUBTOTAL(109,LocalAffairsRevenues[Budget 16/17])</f>
        <v>0</v>
      </c>
      <c r="J6" s="16">
        <f>SUBTOTAL(109,LocalAffairsRevenues[Actual 16/17])</f>
        <v>0</v>
      </c>
      <c r="K6" s="16">
        <f>SUBTOTAL(109,LocalAffairsRevenues[Budget 17/18])</f>
        <v>0</v>
      </c>
      <c r="L6" s="8">
        <f>SUBTOTAL(109,LocalAffairsRevenues[Revenues])</f>
        <v>0</v>
      </c>
      <c r="M6" s="8">
        <f>SUBTOTAL(109,LocalAffairsRevenues[Budget 13/14])</f>
        <v>0</v>
      </c>
      <c r="N6" s="222"/>
      <c r="O6" s="8">
        <f>SUBTOTAL(109,LocalAffairsRevenues[Actual 13/14])</f>
        <v>0</v>
      </c>
      <c r="P6" s="8">
        <f>SUBTOTAL(109,LocalAffairsRevenues[Budget 14/15])</f>
        <v>0</v>
      </c>
    </row>
    <row r="7" spans="1:16">
      <c r="C7" s="39"/>
      <c r="D7" s="39"/>
      <c r="E7" s="39"/>
      <c r="F7" s="39"/>
      <c r="G7" s="39"/>
      <c r="H7" s="111"/>
      <c r="I7" s="39"/>
    </row>
    <row r="8" spans="1:16">
      <c r="B8" s="8" t="s">
        <v>61</v>
      </c>
      <c r="C8" s="8" t="s">
        <v>54</v>
      </c>
      <c r="D8" s="8" t="s">
        <v>55</v>
      </c>
      <c r="E8" s="8" t="s">
        <v>56</v>
      </c>
      <c r="F8" s="8" t="s">
        <v>104</v>
      </c>
      <c r="G8" s="8" t="s">
        <v>29</v>
      </c>
      <c r="H8" s="106" t="s">
        <v>30</v>
      </c>
      <c r="I8" s="8" t="s">
        <v>31</v>
      </c>
      <c r="J8" s="8" t="s">
        <v>32</v>
      </c>
      <c r="K8" s="8" t="s">
        <v>33</v>
      </c>
      <c r="L8" s="8" t="s">
        <v>34</v>
      </c>
      <c r="M8" s="8" t="s">
        <v>6</v>
      </c>
      <c r="N8" s="8" t="s">
        <v>7</v>
      </c>
      <c r="O8" s="8" t="s">
        <v>8</v>
      </c>
      <c r="P8" s="8" t="s">
        <v>105</v>
      </c>
    </row>
    <row r="9" spans="1:16">
      <c r="B9" s="8" t="s">
        <v>70</v>
      </c>
      <c r="C9" s="20">
        <v>150</v>
      </c>
      <c r="D9" s="20">
        <v>0</v>
      </c>
      <c r="E9" s="20">
        <v>0</v>
      </c>
      <c r="F9" s="20">
        <v>0</v>
      </c>
      <c r="G9" s="20">
        <v>0</v>
      </c>
      <c r="H9" s="109">
        <v>0</v>
      </c>
      <c r="I9" s="24">
        <v>0</v>
      </c>
      <c r="J9" s="20"/>
      <c r="K9" s="20"/>
      <c r="L9" s="20"/>
      <c r="M9" s="20"/>
      <c r="N9" s="20"/>
      <c r="O9" s="20"/>
      <c r="P9" s="20"/>
    </row>
    <row r="10" spans="1:16">
      <c r="B10" s="8" t="s">
        <v>77</v>
      </c>
      <c r="C10" s="20">
        <v>60</v>
      </c>
      <c r="D10" s="20">
        <v>0</v>
      </c>
      <c r="E10" s="20">
        <v>60</v>
      </c>
      <c r="F10" s="20">
        <v>0</v>
      </c>
      <c r="G10" s="20">
        <v>60</v>
      </c>
      <c r="H10" s="109">
        <v>0</v>
      </c>
      <c r="I10" s="24">
        <v>40</v>
      </c>
      <c r="J10" s="20"/>
      <c r="K10" s="20"/>
      <c r="L10" s="20"/>
      <c r="M10" s="20"/>
      <c r="N10" s="20"/>
      <c r="O10" s="20"/>
      <c r="P10" s="20"/>
    </row>
    <row r="11" spans="1:16">
      <c r="B11" s="8" t="s">
        <v>641</v>
      </c>
      <c r="C11" s="20"/>
      <c r="D11" s="20"/>
      <c r="E11" s="20"/>
      <c r="F11" s="20"/>
      <c r="G11" s="20"/>
      <c r="H11" s="24"/>
      <c r="I11" s="24"/>
      <c r="J11" s="20"/>
      <c r="K11" s="20"/>
      <c r="L11" s="20"/>
      <c r="M11" s="15"/>
      <c r="N11" s="15"/>
      <c r="O11" s="15"/>
      <c r="P11" s="15"/>
    </row>
    <row r="12" spans="1:16">
      <c r="B12" s="26" t="s">
        <v>686</v>
      </c>
      <c r="C12" s="20"/>
      <c r="D12" s="20"/>
      <c r="E12" s="20"/>
      <c r="F12" s="20"/>
      <c r="G12" s="20"/>
      <c r="H12" s="24"/>
      <c r="I12" s="24"/>
      <c r="J12" s="20"/>
      <c r="K12" s="20"/>
      <c r="L12" s="20"/>
      <c r="M12" s="15"/>
      <c r="N12" s="15"/>
      <c r="O12" s="15">
        <v>11253.11</v>
      </c>
      <c r="P12" s="15"/>
    </row>
    <row r="13" spans="1:16">
      <c r="B13" s="8" t="s">
        <v>113</v>
      </c>
      <c r="C13" s="20">
        <v>400</v>
      </c>
      <c r="D13" s="20">
        <v>0</v>
      </c>
      <c r="E13" s="20">
        <v>800</v>
      </c>
      <c r="F13" s="20"/>
      <c r="G13" s="20"/>
      <c r="H13" s="109">
        <v>0</v>
      </c>
      <c r="I13" s="24">
        <v>0</v>
      </c>
      <c r="J13" s="20"/>
      <c r="K13" s="20"/>
      <c r="L13" s="20"/>
      <c r="M13" s="20"/>
      <c r="N13" s="20"/>
      <c r="O13" s="20"/>
      <c r="P13" s="20"/>
    </row>
    <row r="14" spans="1:16">
      <c r="B14" s="8" t="s">
        <v>116</v>
      </c>
      <c r="C14" s="20">
        <v>500</v>
      </c>
      <c r="D14" s="20">
        <v>0</v>
      </c>
      <c r="E14" s="20">
        <v>0</v>
      </c>
      <c r="F14" s="20">
        <v>100</v>
      </c>
      <c r="G14" s="20">
        <v>100</v>
      </c>
      <c r="H14" s="109">
        <v>0</v>
      </c>
      <c r="I14" s="24">
        <v>100</v>
      </c>
      <c r="J14" s="20"/>
      <c r="K14" s="20"/>
      <c r="L14" s="20"/>
      <c r="M14" s="20"/>
      <c r="N14" s="20"/>
      <c r="O14" s="20"/>
      <c r="P14" s="20"/>
    </row>
    <row r="15" spans="1:16">
      <c r="B15" s="8" t="s">
        <v>83</v>
      </c>
      <c r="C15" s="20">
        <v>0</v>
      </c>
      <c r="D15" s="20">
        <v>0</v>
      </c>
      <c r="E15" s="20">
        <v>250</v>
      </c>
      <c r="F15" s="20">
        <v>0</v>
      </c>
      <c r="G15" s="20"/>
      <c r="H15" s="109">
        <v>11.3</v>
      </c>
      <c r="I15" s="24">
        <v>0</v>
      </c>
      <c r="J15" s="20"/>
      <c r="K15" s="20">
        <v>500</v>
      </c>
      <c r="L15" s="20"/>
      <c r="M15" s="20">
        <v>300</v>
      </c>
      <c r="N15" s="20">
        <v>120</v>
      </c>
      <c r="O15" s="20">
        <v>500</v>
      </c>
      <c r="P15" s="20"/>
    </row>
    <row r="16" spans="1:16" hidden="1">
      <c r="B16" s="8" t="s">
        <v>89</v>
      </c>
      <c r="C16" s="20">
        <v>0</v>
      </c>
      <c r="D16" s="20">
        <v>1769.98</v>
      </c>
      <c r="E16" s="20">
        <v>0</v>
      </c>
      <c r="F16" s="20">
        <v>3.17</v>
      </c>
      <c r="G16" s="20">
        <v>25</v>
      </c>
      <c r="H16" s="109">
        <v>0</v>
      </c>
      <c r="I16" s="24">
        <v>0</v>
      </c>
      <c r="J16" s="20"/>
      <c r="K16" s="20"/>
      <c r="L16" s="20"/>
      <c r="M16" s="20"/>
      <c r="N16" s="20"/>
      <c r="O16" s="20"/>
      <c r="P16" s="20"/>
    </row>
    <row r="17" spans="1:16" hidden="1">
      <c r="B17" s="8" t="s">
        <v>316</v>
      </c>
      <c r="C17" s="20">
        <v>100</v>
      </c>
      <c r="D17" s="20">
        <v>0</v>
      </c>
      <c r="E17" s="20">
        <v>100</v>
      </c>
      <c r="F17" s="20">
        <v>0</v>
      </c>
      <c r="G17" s="20">
        <v>300</v>
      </c>
      <c r="H17" s="109">
        <v>0</v>
      </c>
      <c r="I17" s="24">
        <v>200</v>
      </c>
      <c r="J17" s="20"/>
      <c r="K17" s="20">
        <v>200</v>
      </c>
      <c r="L17" s="20"/>
      <c r="M17" s="20">
        <v>200</v>
      </c>
      <c r="N17" s="20"/>
      <c r="O17" s="20">
        <v>200</v>
      </c>
      <c r="P17" s="20"/>
    </row>
    <row r="18" spans="1:16" hidden="1">
      <c r="A18" s="89"/>
      <c r="B18" s="8" t="s">
        <v>687</v>
      </c>
      <c r="C18" s="20"/>
      <c r="D18" s="20"/>
      <c r="E18" s="20"/>
      <c r="F18" s="20"/>
      <c r="G18" s="20"/>
      <c r="H18" s="109"/>
      <c r="I18" s="24"/>
      <c r="J18" s="20"/>
      <c r="K18" s="20">
        <v>100</v>
      </c>
      <c r="L18" s="20"/>
      <c r="M18" s="20"/>
      <c r="N18" s="20"/>
      <c r="O18" s="20"/>
      <c r="P18" s="20"/>
    </row>
    <row r="19" spans="1:16" hidden="1">
      <c r="B19" s="8" t="s">
        <v>688</v>
      </c>
      <c r="C19" s="20">
        <v>200</v>
      </c>
      <c r="D19" s="20">
        <v>0</v>
      </c>
      <c r="E19" s="20">
        <v>0</v>
      </c>
      <c r="F19" s="20">
        <v>0</v>
      </c>
      <c r="G19" s="20"/>
      <c r="H19" s="109">
        <v>0</v>
      </c>
      <c r="I19" s="24">
        <v>0</v>
      </c>
      <c r="J19" s="20"/>
      <c r="K19" s="20"/>
      <c r="L19" s="20"/>
      <c r="M19" s="20"/>
      <c r="N19" s="20"/>
      <c r="O19" s="20"/>
      <c r="P19" s="20"/>
    </row>
    <row r="20" spans="1:16" hidden="1">
      <c r="B20" s="26" t="s">
        <v>689</v>
      </c>
      <c r="C20" s="20">
        <v>400</v>
      </c>
      <c r="D20" s="20">
        <v>0</v>
      </c>
      <c r="E20" s="20">
        <v>0</v>
      </c>
      <c r="F20" s="20">
        <v>0</v>
      </c>
      <c r="G20" s="20">
        <v>0</v>
      </c>
      <c r="H20" s="109">
        <v>0</v>
      </c>
      <c r="I20" s="24">
        <v>0</v>
      </c>
      <c r="J20" s="20"/>
      <c r="K20" s="20"/>
      <c r="L20" s="20"/>
      <c r="M20" s="20"/>
      <c r="N20" s="20"/>
      <c r="O20" s="20"/>
      <c r="P20" s="20"/>
    </row>
    <row r="21" spans="1:16">
      <c r="B21" s="8" t="s">
        <v>690</v>
      </c>
      <c r="C21" s="20">
        <v>300</v>
      </c>
      <c r="D21" s="20">
        <v>0</v>
      </c>
      <c r="E21" s="20">
        <v>300</v>
      </c>
      <c r="F21" s="20">
        <v>0</v>
      </c>
      <c r="G21" s="20">
        <v>300</v>
      </c>
      <c r="H21" s="109">
        <v>0</v>
      </c>
      <c r="I21" s="24">
        <v>0</v>
      </c>
      <c r="J21" s="20"/>
      <c r="K21" s="20"/>
      <c r="L21" s="20"/>
      <c r="M21" s="20"/>
      <c r="N21" s="20"/>
      <c r="O21" s="20"/>
      <c r="P21" s="20"/>
    </row>
    <row r="22" spans="1:16">
      <c r="B22" s="8" t="s">
        <v>672</v>
      </c>
      <c r="C22" s="20">
        <v>500</v>
      </c>
      <c r="D22" s="20">
        <v>0</v>
      </c>
      <c r="E22" s="20">
        <v>0</v>
      </c>
      <c r="F22" s="20">
        <v>0</v>
      </c>
      <c r="G22" s="20"/>
      <c r="H22" s="109">
        <v>0</v>
      </c>
      <c r="I22" s="24">
        <v>0</v>
      </c>
      <c r="J22" s="20"/>
      <c r="K22" s="20"/>
      <c r="L22" s="20"/>
      <c r="M22" s="20"/>
      <c r="N22" s="20"/>
      <c r="O22" s="20"/>
      <c r="P22" s="20"/>
    </row>
    <row r="23" spans="1:16">
      <c r="B23" s="8" t="s">
        <v>357</v>
      </c>
      <c r="C23" s="20">
        <v>2400</v>
      </c>
      <c r="D23" s="20">
        <v>0</v>
      </c>
      <c r="E23" s="20">
        <v>0</v>
      </c>
      <c r="F23" s="20">
        <v>0</v>
      </c>
      <c r="G23" s="20"/>
      <c r="H23" s="109">
        <v>0</v>
      </c>
      <c r="I23" s="24">
        <v>0</v>
      </c>
      <c r="J23" s="20"/>
      <c r="K23" s="20"/>
      <c r="L23" s="20"/>
      <c r="M23" s="20">
        <v>200</v>
      </c>
      <c r="N23" s="20"/>
      <c r="O23" s="20">
        <v>200</v>
      </c>
      <c r="P23" s="20"/>
    </row>
    <row r="24" spans="1:16">
      <c r="B24" s="8" t="s">
        <v>247</v>
      </c>
      <c r="C24" s="20">
        <v>0</v>
      </c>
      <c r="D24" s="20">
        <v>0</v>
      </c>
      <c r="E24" s="20">
        <v>0</v>
      </c>
      <c r="F24" s="20">
        <v>0</v>
      </c>
      <c r="G24" s="20"/>
      <c r="H24" s="109">
        <v>0</v>
      </c>
      <c r="I24" s="24">
        <v>0</v>
      </c>
      <c r="J24" s="20"/>
      <c r="K24" s="20"/>
      <c r="L24" s="20"/>
      <c r="M24" s="20"/>
      <c r="N24" s="20"/>
      <c r="O24" s="20"/>
      <c r="P24" s="20"/>
    </row>
    <row r="25" spans="1:16">
      <c r="B25" s="8" t="s">
        <v>684</v>
      </c>
      <c r="C25" s="20">
        <v>500</v>
      </c>
      <c r="D25" s="20">
        <v>34.71</v>
      </c>
      <c r="E25" s="20">
        <v>350</v>
      </c>
      <c r="F25" s="20">
        <v>23.35</v>
      </c>
      <c r="G25" s="20">
        <v>350</v>
      </c>
      <c r="H25" s="109">
        <v>43.31</v>
      </c>
      <c r="I25" s="24">
        <v>300</v>
      </c>
      <c r="J25" s="20"/>
      <c r="K25" s="20">
        <v>100</v>
      </c>
      <c r="L25" s="20">
        <v>90</v>
      </c>
      <c r="M25" s="20">
        <v>150</v>
      </c>
      <c r="N25" s="20"/>
      <c r="O25" s="20">
        <v>150</v>
      </c>
      <c r="P25" s="20"/>
    </row>
    <row r="26" spans="1:16">
      <c r="B26" s="222" t="s">
        <v>13</v>
      </c>
      <c r="C26" s="313">
        <f>SUBTOTAL(109,LocalAffairsExpenses[Budget 13/14])</f>
        <v>4810</v>
      </c>
      <c r="D26" s="313">
        <f>SUBTOTAL(109,LocalAffairsExpenses[Actual 13/14])</f>
        <v>34.71</v>
      </c>
      <c r="E26" s="313">
        <f>SUBTOTAL(109,LocalAffairsExpenses[Budget 14/15])</f>
        <v>1760</v>
      </c>
      <c r="F26" s="313">
        <f>SUBTOTAL(109,LocalAffairsExpenses[Actual 14/15])</f>
        <v>123.35</v>
      </c>
      <c r="G26" s="313">
        <f>SUBTOTAL(109,LocalAffairsExpenses[Budget 15/16])</f>
        <v>810</v>
      </c>
      <c r="H26" s="367">
        <f>SUBTOTAL(109,LocalAffairsExpenses[Actual 15/16])</f>
        <v>54.61</v>
      </c>
      <c r="I26" s="313">
        <f>SUBTOTAL(109,LocalAffairsExpenses[Budget 16/17])</f>
        <v>440</v>
      </c>
      <c r="J26" s="313">
        <f>SUBTOTAL(109,LocalAffairsExpenses[Actual 16/17])</f>
        <v>0</v>
      </c>
      <c r="K26" s="313">
        <f>SUBTOTAL(109,LocalAffairsExpenses[Budget 17/18])</f>
        <v>600</v>
      </c>
      <c r="L26" s="222">
        <f>SUBTOTAL(109,LocalAffairsExpenses[Actual 17/18])</f>
        <v>90</v>
      </c>
      <c r="M26" s="315">
        <f>SUBTOTAL(109,LocalAffairsExpenses[Budget 18/19])</f>
        <v>650</v>
      </c>
      <c r="N26" s="315">
        <f>SUBTOTAL(109,LocalAffairsExpenses[Actual 18/19])</f>
        <v>120</v>
      </c>
      <c r="O26" s="315">
        <f>SUBTOTAL(109,LocalAffairsExpenses[Budget 19/20])</f>
        <v>12103.11</v>
      </c>
      <c r="P26" s="315"/>
    </row>
    <row r="27" spans="1:16" ht="13.5" thickBot="1"/>
    <row r="28" spans="1:16" ht="19.5" thickBot="1">
      <c r="B28" s="452" t="s">
        <v>102</v>
      </c>
      <c r="C28" s="27">
        <f>LocalAffairsRevenues[[#Totals],[Budget 13/14]]-LocalAffairsExpenses[[#Totals],[Budget 13/14]]</f>
        <v>-4810</v>
      </c>
      <c r="D28" s="27">
        <f>LocalAffairsRevenues[[#Totals],[Actual 13/14]]-LocalAffairsExpenses[[#Totals],[Actual 13/14]]</f>
        <v>-34.71</v>
      </c>
      <c r="E28" s="27">
        <f>LocalAffairsRevenues[[#Totals],[Budget 14/15]]-LocalAffairsExpenses[[#Totals],[Budget 14/15]]</f>
        <v>-1760</v>
      </c>
      <c r="F28" s="27">
        <f>LocalAffairsRevenues[[#Totals],[Actual 14/15]]-LocalAffairsExpenses[[#Totals],[Actual 14/15]]</f>
        <v>-123.35</v>
      </c>
      <c r="G28" s="27">
        <f>LocalAffairsRevenues[[#Totals],[Budget 15/16]]-LocalAffairsExpenses[[#Totals],[Budget 15/16]]</f>
        <v>-810</v>
      </c>
      <c r="H28" s="107">
        <f>LocalAffairsRevenues[[#Totals],[Actual 15/16]]-LocalAffairsExpenses[[#Totals],[Actual 15/16]]</f>
        <v>-54.61</v>
      </c>
      <c r="I28" s="66">
        <f>LocalAffairsRevenues[[#Totals],[Budget 16/17]]-LocalAffairsExpenses[[#Totals],[Budget 16/17]]</f>
        <v>-440</v>
      </c>
      <c r="J28" s="66">
        <f>LocalAffairsRevenues[[#Totals],[Actual 16/17]]-LocalAffairsExpenses[[#Totals],[Actual 16/17]]</f>
        <v>0</v>
      </c>
      <c r="K28" s="66">
        <f>LocalAffairsRevenues[[#Totals],[Budget 17/18]]-LocalAffairsExpenses[[#Totals],[Budget 17/18]]</f>
        <v>-600</v>
      </c>
      <c r="L28" s="66">
        <f>LocalAffairsRevenues[[#Totals],[Actual 17/18]]-LocalAffairsExpenses[[#Totals],[Actual 17/18]]</f>
        <v>-90</v>
      </c>
      <c r="M28" s="66">
        <f>LocalAffairsRevenues[[#Totals],[Budget 18/19]]-LocalAffairsExpenses[[#Totals],[Budget 18/19]]</f>
        <v>-650</v>
      </c>
      <c r="N28" s="66">
        <f>LocalAffairsRevenues[[#Totals],[Actual 18/19]]-LocalAffairsExpenses[[#Totals],[Actual 18/19]]</f>
        <v>-120</v>
      </c>
      <c r="O28" s="66">
        <f>LocalAffairsRevenues[[#Totals],[Budget 19/20]]-LocalAffairsExpenses[[#Totals],[Budget 19/20]]</f>
        <v>-12103.11</v>
      </c>
      <c r="P28" s="66"/>
    </row>
  </sheetData>
  <mergeCells count="1">
    <mergeCell ref="A1:B1"/>
  </mergeCells>
  <pageMargins left="0.7" right="0.7" top="0.75" bottom="0.75" header="0.3" footer="0.3"/>
  <pageSetup orientation="portrait" r:id="rId1"/>
  <legacyDrawing r:id="rId2"/>
  <tableParts count="2">
    <tablePart r:id="rId3"/>
    <tablePart r:id="rId4"/>
  </tablePart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tabColor theme="1"/>
    <pageSetUpPr fitToPage="1"/>
  </sheetPr>
  <dimension ref="A1:W25"/>
  <sheetViews>
    <sheetView showGridLines="0" zoomScaleNormal="100" workbookViewId="0">
      <selection activeCell="Y15" sqref="Y15"/>
    </sheetView>
  </sheetViews>
  <sheetFormatPr defaultColWidth="11.42578125" defaultRowHeight="12.75"/>
  <cols>
    <col min="1" max="1" width="13.85546875" style="8" customWidth="1"/>
    <col min="2" max="2" width="18.7109375" style="8" bestFit="1" customWidth="1"/>
    <col min="3" max="13" width="17.7109375" style="8" hidden="1" customWidth="1"/>
    <col min="14" max="14" width="17.7109375" style="138" hidden="1" customWidth="1"/>
    <col min="15" max="15" width="17.7109375" style="8" hidden="1" customWidth="1"/>
    <col min="16" max="16" width="23.7109375" style="8" hidden="1" customWidth="1"/>
    <col min="17" max="17" width="21" style="8" customWidth="1"/>
    <col min="18" max="18" width="17.28515625" style="8" customWidth="1"/>
    <col min="19" max="19" width="22.85546875" style="8" customWidth="1"/>
    <col min="20" max="21" width="17.5703125" style="8" bestFit="1" customWidth="1"/>
    <col min="22" max="16384" width="11.42578125" style="8"/>
  </cols>
  <sheetData>
    <row r="1" spans="1:23" ht="18">
      <c r="A1" s="534" t="s">
        <v>691</v>
      </c>
      <c r="B1" s="534"/>
      <c r="C1" s="534"/>
      <c r="D1" s="534"/>
    </row>
    <row r="2" spans="1:23">
      <c r="A2" s="28" t="s">
        <v>636</v>
      </c>
    </row>
    <row r="4" spans="1:23">
      <c r="B4" s="8" t="s">
        <v>47</v>
      </c>
      <c r="C4" s="8" t="s">
        <v>48</v>
      </c>
      <c r="D4" s="8" t="s">
        <v>49</v>
      </c>
      <c r="E4" s="8" t="s">
        <v>50</v>
      </c>
      <c r="F4" s="8" t="s">
        <v>51</v>
      </c>
      <c r="G4" s="8" t="s">
        <v>52</v>
      </c>
      <c r="H4" s="8" t="s">
        <v>53</v>
      </c>
      <c r="I4" s="8" t="s">
        <v>54</v>
      </c>
      <c r="J4" s="8" t="s">
        <v>55</v>
      </c>
      <c r="K4" s="8" t="s">
        <v>56</v>
      </c>
      <c r="L4" s="8" t="s">
        <v>104</v>
      </c>
      <c r="M4" s="8" t="s">
        <v>29</v>
      </c>
      <c r="N4" s="487" t="s">
        <v>30</v>
      </c>
      <c r="O4" s="3" t="s">
        <v>31</v>
      </c>
      <c r="P4" s="3" t="s">
        <v>32</v>
      </c>
      <c r="Q4" s="3" t="s">
        <v>33</v>
      </c>
      <c r="R4" s="3" t="s">
        <v>34</v>
      </c>
      <c r="S4" s="3" t="s">
        <v>6</v>
      </c>
      <c r="T4" s="3" t="s">
        <v>7</v>
      </c>
      <c r="U4" s="3" t="s">
        <v>8</v>
      </c>
      <c r="V4" s="3" t="s">
        <v>105</v>
      </c>
    </row>
    <row r="5" spans="1:23">
      <c r="C5" s="16">
        <v>0</v>
      </c>
      <c r="D5" s="16">
        <v>0</v>
      </c>
      <c r="E5" s="16">
        <v>0</v>
      </c>
      <c r="F5" s="16">
        <v>0</v>
      </c>
      <c r="G5" s="16">
        <v>0</v>
      </c>
      <c r="H5" s="16">
        <v>0</v>
      </c>
      <c r="I5" s="16">
        <v>0</v>
      </c>
      <c r="J5" s="16"/>
      <c r="K5" s="16"/>
      <c r="L5" s="16">
        <v>0</v>
      </c>
      <c r="M5" s="16">
        <v>0</v>
      </c>
      <c r="N5" s="140">
        <v>0</v>
      </c>
      <c r="O5" s="16">
        <v>0</v>
      </c>
      <c r="P5" s="16"/>
      <c r="Q5" s="16"/>
      <c r="R5" s="16"/>
      <c r="S5" s="16"/>
      <c r="T5" s="16"/>
      <c r="U5" s="16"/>
      <c r="V5" s="16"/>
    </row>
    <row r="6" spans="1:23">
      <c r="C6" s="24">
        <v>0</v>
      </c>
      <c r="D6" s="24">
        <v>0</v>
      </c>
      <c r="E6" s="24">
        <v>0</v>
      </c>
      <c r="F6" s="24">
        <v>0</v>
      </c>
      <c r="G6" s="24">
        <v>0</v>
      </c>
      <c r="H6" s="24">
        <v>0</v>
      </c>
      <c r="I6" s="24">
        <v>0</v>
      </c>
      <c r="J6" s="24"/>
      <c r="K6" s="24"/>
      <c r="L6" s="24">
        <v>0</v>
      </c>
      <c r="M6" s="24">
        <v>0</v>
      </c>
      <c r="N6" s="139">
        <v>0</v>
      </c>
      <c r="O6" s="24">
        <v>0</v>
      </c>
      <c r="P6" s="16"/>
      <c r="Q6" s="16"/>
      <c r="R6" s="16"/>
      <c r="S6" s="16"/>
      <c r="T6" s="16"/>
      <c r="U6" s="16"/>
      <c r="V6" s="16"/>
    </row>
    <row r="7" spans="1:23">
      <c r="B7" s="26" t="s">
        <v>13</v>
      </c>
      <c r="C7" s="16">
        <f>SUBTOTAL(109,OUSARevenues[Budget 10/11])</f>
        <v>0</v>
      </c>
      <c r="D7" s="16">
        <f>SUBTOTAL(109,OUSARevenues[Actual 10/11])</f>
        <v>0</v>
      </c>
      <c r="E7" s="16">
        <f>SUBTOTAL(109,OUSARevenues[Budget 11/12])</f>
        <v>0</v>
      </c>
      <c r="F7" s="16">
        <f>SUBTOTAL(109,OUSARevenues[Actual 11/12])</f>
        <v>0</v>
      </c>
      <c r="G7" s="16">
        <f>SUBTOTAL(109,OUSARevenues[Budget 12/13])</f>
        <v>0</v>
      </c>
      <c r="H7" s="16">
        <f>SUBTOTAL(109,OUSARevenues[Actual 12/13])</f>
        <v>0</v>
      </c>
      <c r="I7" s="16">
        <f>SUBTOTAL(109,OUSARevenues[Budget 13/14])</f>
        <v>0</v>
      </c>
      <c r="J7" s="16">
        <f>SUBTOTAL(109,OUSARevenues[Actual 13/14])</f>
        <v>0</v>
      </c>
      <c r="K7" s="16">
        <f>SUBTOTAL(109,OUSARevenues[Budget 14/15])</f>
        <v>0</v>
      </c>
      <c r="L7" s="16">
        <f>SUBTOTAL(109,OUSARevenues[Actual 14/15])</f>
        <v>0</v>
      </c>
      <c r="M7" s="16">
        <f>SUBTOTAL(109,OUSARevenues[Budget 15/16])</f>
        <v>0</v>
      </c>
      <c r="N7" s="140">
        <f>SUBTOTAL(109,OUSARevenues[Actual 15/16])</f>
        <v>0</v>
      </c>
      <c r="O7" s="16">
        <f>SUBTOTAL(109,OUSARevenues[Budget 16/17])</f>
        <v>0</v>
      </c>
      <c r="P7" s="16">
        <f>SUBTOTAL(109,OUSARevenues[Actual 16/17])</f>
        <v>0</v>
      </c>
      <c r="Q7" s="16">
        <f>SUBTOTAL(109,OUSARevenues[Budget 17/18])</f>
        <v>0</v>
      </c>
      <c r="R7" s="192">
        <f>SUBTOTAL(109,OUSARevenues[Revenues])</f>
        <v>0</v>
      </c>
      <c r="S7" s="192">
        <f>SUBTOTAL(109,OUSARevenues[Budget 10/11])</f>
        <v>0</v>
      </c>
      <c r="T7" s="413"/>
      <c r="U7" s="192">
        <f>SUBTOTAL(109,OUSARevenues[Actual 10/11])</f>
        <v>0</v>
      </c>
      <c r="V7" s="221"/>
    </row>
    <row r="8" spans="1:23">
      <c r="B8" s="26"/>
      <c r="C8" s="16"/>
      <c r="D8" s="16"/>
      <c r="E8" s="16"/>
      <c r="F8" s="16"/>
      <c r="G8" s="16"/>
      <c r="H8" s="16"/>
      <c r="I8" s="16"/>
      <c r="J8" s="16"/>
      <c r="K8" s="16"/>
      <c r="L8" s="16"/>
      <c r="M8" s="16"/>
    </row>
    <row r="9" spans="1:23">
      <c r="A9" s="48" t="s">
        <v>107</v>
      </c>
      <c r="B9" s="8" t="s">
        <v>61</v>
      </c>
      <c r="C9" s="39" t="s">
        <v>48</v>
      </c>
      <c r="D9" s="39" t="s">
        <v>49</v>
      </c>
      <c r="E9" s="39" t="s">
        <v>50</v>
      </c>
      <c r="F9" s="39" t="s">
        <v>51</v>
      </c>
      <c r="G9" s="39" t="s">
        <v>692</v>
      </c>
      <c r="H9" s="39" t="s">
        <v>53</v>
      </c>
      <c r="I9" s="39" t="s">
        <v>54</v>
      </c>
      <c r="J9" s="39" t="s">
        <v>55</v>
      </c>
      <c r="K9" s="39" t="s">
        <v>56</v>
      </c>
      <c r="L9" s="39" t="s">
        <v>104</v>
      </c>
      <c r="M9" s="39" t="s">
        <v>29</v>
      </c>
      <c r="N9" s="488" t="s">
        <v>30</v>
      </c>
      <c r="O9" s="3" t="s">
        <v>31</v>
      </c>
      <c r="P9" s="489" t="s">
        <v>32</v>
      </c>
      <c r="Q9" s="489" t="s">
        <v>33</v>
      </c>
      <c r="R9" s="489" t="s">
        <v>34</v>
      </c>
      <c r="S9" s="39" t="s">
        <v>6</v>
      </c>
      <c r="T9" s="39" t="s">
        <v>7</v>
      </c>
      <c r="U9" s="39" t="s">
        <v>8</v>
      </c>
      <c r="V9" s="39" t="s">
        <v>105</v>
      </c>
    </row>
    <row r="10" spans="1:23" hidden="1">
      <c r="A10" s="48" t="s">
        <v>693</v>
      </c>
      <c r="B10" s="8" t="s">
        <v>74</v>
      </c>
      <c r="C10" s="24">
        <v>0</v>
      </c>
      <c r="D10" s="24">
        <v>0</v>
      </c>
      <c r="E10" s="24">
        <v>25</v>
      </c>
      <c r="F10" s="24">
        <v>63.68</v>
      </c>
      <c r="G10" s="24">
        <v>0</v>
      </c>
      <c r="H10" s="24">
        <v>0</v>
      </c>
      <c r="I10" s="24">
        <v>0</v>
      </c>
      <c r="J10" s="24">
        <v>0</v>
      </c>
      <c r="K10" s="24">
        <v>0</v>
      </c>
      <c r="L10" s="24">
        <v>0</v>
      </c>
      <c r="M10" s="24">
        <v>0</v>
      </c>
      <c r="N10" s="139">
        <v>0</v>
      </c>
      <c r="O10" s="24"/>
      <c r="P10" s="24"/>
      <c r="Q10" s="24"/>
      <c r="R10" s="24"/>
      <c r="S10" s="24"/>
      <c r="T10" s="24"/>
      <c r="U10" s="24"/>
      <c r="V10" s="24"/>
    </row>
    <row r="11" spans="1:23">
      <c r="A11" s="48" t="s">
        <v>694</v>
      </c>
      <c r="B11" s="8" t="s">
        <v>333</v>
      </c>
      <c r="C11" s="24">
        <f>24066*2.68</f>
        <v>64496.880000000005</v>
      </c>
      <c r="D11" s="24">
        <v>65677.73</v>
      </c>
      <c r="E11" s="24">
        <f>2.76*24595</f>
        <v>67882.2</v>
      </c>
      <c r="F11" s="24">
        <v>69637.56</v>
      </c>
      <c r="G11" s="24">
        <v>73347</v>
      </c>
      <c r="H11" s="24">
        <v>80133.81</v>
      </c>
      <c r="I11" s="24">
        <v>79000</v>
      </c>
      <c r="J11" s="24">
        <v>63000</v>
      </c>
      <c r="K11" s="24">
        <v>83248</v>
      </c>
      <c r="L11" s="24">
        <v>83273.5</v>
      </c>
      <c r="M11" s="24">
        <f>2.97*28715.6</f>
        <v>85285.331999999995</v>
      </c>
      <c r="N11" s="139">
        <v>85561.8</v>
      </c>
      <c r="O11" s="24">
        <v>87607</v>
      </c>
      <c r="P11" s="24">
        <v>89619.03</v>
      </c>
      <c r="Q11" s="24">
        <v>91190.88</v>
      </c>
      <c r="R11" s="24">
        <v>92893.28</v>
      </c>
      <c r="S11" s="24">
        <v>97335</v>
      </c>
      <c r="T11" s="24">
        <v>76000</v>
      </c>
      <c r="U11" s="24">
        <f>97335*1.023*0.7</f>
        <v>69701.593499999988</v>
      </c>
      <c r="V11" s="24"/>
      <c r="W11" s="8" t="s">
        <v>695</v>
      </c>
    </row>
    <row r="12" spans="1:23">
      <c r="A12" s="48" t="s">
        <v>696</v>
      </c>
      <c r="B12" s="8" t="s">
        <v>357</v>
      </c>
      <c r="C12" s="24">
        <v>0</v>
      </c>
      <c r="D12" s="24">
        <v>0</v>
      </c>
      <c r="E12" s="24">
        <v>0</v>
      </c>
      <c r="F12" s="24">
        <v>0</v>
      </c>
      <c r="G12" s="24">
        <v>0</v>
      </c>
      <c r="H12" s="24">
        <v>0</v>
      </c>
      <c r="I12" s="24">
        <v>2800</v>
      </c>
      <c r="J12" s="24">
        <v>2496</v>
      </c>
      <c r="K12" s="24">
        <v>2800</v>
      </c>
      <c r="L12" s="24">
        <v>1800</v>
      </c>
      <c r="M12" s="24">
        <v>2900</v>
      </c>
      <c r="N12" s="139">
        <v>1600</v>
      </c>
      <c r="O12" s="24">
        <v>2800</v>
      </c>
      <c r="P12" s="24">
        <v>1036.3499999999999</v>
      </c>
      <c r="Q12" s="24">
        <v>2800</v>
      </c>
      <c r="R12" s="24">
        <v>1300</v>
      </c>
      <c r="S12" s="24">
        <v>2000</v>
      </c>
      <c r="T12" s="24">
        <v>1710</v>
      </c>
      <c r="U12" s="24">
        <v>2050</v>
      </c>
      <c r="V12" s="24"/>
    </row>
    <row r="13" spans="1:23">
      <c r="A13" s="48" t="s">
        <v>697</v>
      </c>
      <c r="B13" s="8" t="s">
        <v>83</v>
      </c>
      <c r="C13" s="24">
        <v>10000</v>
      </c>
      <c r="D13" s="24">
        <v>10043.51</v>
      </c>
      <c r="E13" s="24">
        <v>11000</v>
      </c>
      <c r="F13" s="24">
        <v>12586.97</v>
      </c>
      <c r="G13" s="24">
        <v>11000</v>
      </c>
      <c r="H13" s="24">
        <v>8124.71</v>
      </c>
      <c r="I13" s="24">
        <v>12500</v>
      </c>
      <c r="J13" s="24">
        <v>12077.31</v>
      </c>
      <c r="K13" s="24">
        <v>11500</v>
      </c>
      <c r="L13" s="24">
        <v>10952.05</v>
      </c>
      <c r="M13" s="24">
        <v>11500</v>
      </c>
      <c r="N13" s="139">
        <v>8958.6200000000008</v>
      </c>
      <c r="O13" s="24">
        <v>12500</v>
      </c>
      <c r="P13" s="24">
        <v>11558.66</v>
      </c>
      <c r="Q13" s="24">
        <v>8000</v>
      </c>
      <c r="R13" s="24">
        <v>10681.67</v>
      </c>
      <c r="S13" s="24">
        <v>10000</v>
      </c>
      <c r="T13" s="24">
        <v>29529.82</v>
      </c>
      <c r="U13" s="24">
        <v>10000</v>
      </c>
      <c r="V13" s="24"/>
    </row>
    <row r="14" spans="1:23">
      <c r="A14" s="49" t="s">
        <v>698</v>
      </c>
      <c r="B14" s="8" t="s">
        <v>699</v>
      </c>
      <c r="C14" s="24"/>
      <c r="D14" s="24"/>
      <c r="E14" s="24"/>
      <c r="F14" s="24"/>
      <c r="G14" s="24"/>
      <c r="H14" s="24"/>
      <c r="I14" s="24"/>
      <c r="J14" s="24"/>
      <c r="K14" s="24"/>
      <c r="L14" s="24"/>
      <c r="M14" s="24"/>
      <c r="N14" s="139"/>
      <c r="O14" s="24"/>
      <c r="P14" s="24"/>
      <c r="Q14" s="24"/>
      <c r="R14" s="24">
        <v>169.92</v>
      </c>
      <c r="S14" s="24"/>
      <c r="T14" s="24"/>
      <c r="U14" s="24"/>
      <c r="V14" s="24"/>
    </row>
    <row r="15" spans="1:23" ht="13.5" thickBot="1">
      <c r="B15" s="222" t="s">
        <v>13</v>
      </c>
      <c r="C15" s="313">
        <f>SUBTOTAL(109,OUSAExpenses[Budget 10/11])</f>
        <v>74496.88</v>
      </c>
      <c r="D15" s="313">
        <f>SUBTOTAL(109,OUSAExpenses[Actual 10/11])</f>
        <v>75721.239999999991</v>
      </c>
      <c r="E15" s="313">
        <f>SUBTOTAL(109,OUSAExpenses[Budget 11/12])</f>
        <v>78882.2</v>
      </c>
      <c r="F15" s="313">
        <f>SUBTOTAL(109,OUSAExpenses[Actual 11/12])</f>
        <v>82224.53</v>
      </c>
      <c r="G15" s="313">
        <f>SUBTOTAL(109,OUSAExpenses[Budget 11/122])</f>
        <v>84347</v>
      </c>
      <c r="H15" s="313">
        <f>SUBTOTAL(109,OUSAExpenses[Actual 12/13])</f>
        <v>88258.52</v>
      </c>
      <c r="I15" s="313">
        <f>SUBTOTAL(109,OUSAExpenses[Budget 13/14])</f>
        <v>94300</v>
      </c>
      <c r="J15" s="313">
        <f>SUBTOTAL(109,OUSAExpenses[Actual 13/14])</f>
        <v>77573.31</v>
      </c>
      <c r="K15" s="313">
        <f>SUBTOTAL(109,OUSAExpenses[Budget 14/15])</f>
        <v>97548</v>
      </c>
      <c r="L15" s="313">
        <f>SUBTOTAL(109,OUSAExpenses[Actual 14/15])</f>
        <v>96025.55</v>
      </c>
      <c r="M15" s="313">
        <f>SUBTOTAL(109,OUSAExpenses[Budget 15/16])</f>
        <v>99685.331999999995</v>
      </c>
      <c r="N15" s="314">
        <f>SUBTOTAL(109,OUSAExpenses[Actual 15/16])</f>
        <v>96120.42</v>
      </c>
      <c r="O15" s="313">
        <f>SUBTOTAL(109,OUSAExpenses[Budget 16/17])</f>
        <v>102907</v>
      </c>
      <c r="P15" s="313">
        <f>SUBTOTAL(109,OUSAExpenses[Actual 16/17])</f>
        <v>102214.04000000001</v>
      </c>
      <c r="Q15" s="313">
        <f>SUBTOTAL(109,OUSAExpenses[Budget 17/18])</f>
        <v>101990.88</v>
      </c>
      <c r="R15" s="315">
        <f>SUBTOTAL(109,OUSAExpenses[Actual 17/18])</f>
        <v>105044.87</v>
      </c>
      <c r="S15" s="315">
        <f>SUM(OUSAExpenses[Budget 18/19])</f>
        <v>109335</v>
      </c>
      <c r="T15" s="315">
        <f>SUM(OUSAExpenses[Actual 18/19])</f>
        <v>107239.82</v>
      </c>
      <c r="U15" s="313">
        <f>SUM(U11:U14)</f>
        <v>81751.593499999988</v>
      </c>
      <c r="V15" s="315"/>
    </row>
    <row r="16" spans="1:23" ht="19.5" thickBot="1">
      <c r="B16" s="452" t="s">
        <v>102</v>
      </c>
      <c r="C16" s="27">
        <f>OUSARevenues[[#Totals],[Budget 10/11]]-OUSAExpenses[[#Totals],[Budget 10/11]]</f>
        <v>-74496.88</v>
      </c>
      <c r="D16" s="27">
        <f>OUSARevenues[[#Totals],[Actual 10/11]]-OUSAExpenses[[#Totals],[Actual 10/11]]</f>
        <v>-75721.239999999991</v>
      </c>
      <c r="E16" s="27">
        <f>OUSARevenues[[#Totals],[Budget 11/12]]-OUSAExpenses[[#Totals],[Budget 11/12]]</f>
        <v>-78882.2</v>
      </c>
      <c r="F16" s="27">
        <f>OUSARevenues[[#Totals],[Actual 11/12]]-OUSAExpenses[[#Totals],[Actual 11/12]]</f>
        <v>-82224.53</v>
      </c>
      <c r="G16" s="27">
        <f>OUSARevenues[[#Totals],[Budget 12/13]]-OUSAExpenses[[#Totals],[Budget 11/122]]</f>
        <v>-84347</v>
      </c>
      <c r="H16" s="27">
        <f>OUSARevenues[[#Totals],[Actual 12/13]]-OUSAExpenses[[#Totals],[Actual 12/13]]</f>
        <v>-88258.52</v>
      </c>
      <c r="I16" s="27">
        <f>OUSARevenues[[#Totals],[Budget 13/14]]-OUSAExpenses[[#Totals],[Budget 13/14]]</f>
        <v>-94300</v>
      </c>
      <c r="J16" s="27">
        <f>OUSARevenues[[#Totals],[Actual 13/14]]-OUSAExpenses[[#Totals],[Actual 13/14]]</f>
        <v>-77573.31</v>
      </c>
      <c r="K16" s="27">
        <f>OUSARevenues[[#Totals],[Budget 14/15]]-OUSAExpenses[[#Totals],[Budget 14/15]]</f>
        <v>-97548</v>
      </c>
      <c r="L16" s="27">
        <f>OUSARevenues[[#Totals],[Actual 14/15]]-OUSAExpenses[[#Totals],[Actual 14/15]]</f>
        <v>-96025.55</v>
      </c>
      <c r="M16" s="27">
        <f>OUSARevenues[[#Totals],[Budget 15/16]]-OUSAExpenses[[#Totals],[Budget 15/16]]</f>
        <v>-99685.331999999995</v>
      </c>
      <c r="N16" s="27">
        <f>OUSARevenues[[#Totals],[Actual 15/16]]-OUSAExpenses[[#Totals],[Actual 15/16]]</f>
        <v>-96120.42</v>
      </c>
      <c r="O16" s="66">
        <f>OUSARevenues[[#Totals],[Budget 16/17]]-OUSAExpenses[[#Totals],[Budget 16/17]]</f>
        <v>-102907</v>
      </c>
      <c r="P16" s="66">
        <f>OUSARevenues[[#Totals],[Actual 16/17]]-OUSAExpenses[[#Totals],[Actual 16/17]]</f>
        <v>-102214.04000000001</v>
      </c>
      <c r="Q16" s="66">
        <f>OUSARevenues[[#Totals],[Budget 17/18]]-OUSAExpenses[[#Totals],[Budget 17/18]]</f>
        <v>-101990.88</v>
      </c>
      <c r="R16" s="66">
        <f>OUSARevenues[[#Totals],[Actual 17/18]]-OUSAExpenses[[#Totals],[Actual 17/18]]</f>
        <v>-105044.87</v>
      </c>
      <c r="S16" s="66">
        <f>-SUM(OUSAExpenses[Budget 18/19])</f>
        <v>-109335</v>
      </c>
      <c r="T16" s="66">
        <f>-SUM(OUSAExpenses[Actual 18/19])</f>
        <v>-107239.82</v>
      </c>
      <c r="U16" s="66">
        <f>-SUM(OUSAExpenses[Budget 19/20])</f>
        <v>-81751.593499999988</v>
      </c>
      <c r="V16" s="66"/>
    </row>
    <row r="17" spans="1:15">
      <c r="C17" s="24"/>
      <c r="D17" s="24"/>
      <c r="E17" s="24"/>
      <c r="F17" s="24"/>
      <c r="G17" s="24"/>
      <c r="H17" s="24"/>
      <c r="I17" s="24"/>
      <c r="J17" s="24"/>
      <c r="K17" s="24"/>
      <c r="L17" s="24"/>
      <c r="M17" s="24"/>
    </row>
    <row r="18" spans="1:15">
      <c r="C18" s="24"/>
      <c r="D18" s="24"/>
      <c r="E18" s="24"/>
      <c r="F18" s="24"/>
      <c r="G18" s="24"/>
      <c r="H18" s="24"/>
      <c r="I18" s="24"/>
      <c r="J18" s="24"/>
      <c r="K18" s="24"/>
      <c r="L18" s="24"/>
      <c r="M18" s="24"/>
    </row>
    <row r="19" spans="1:15">
      <c r="C19" s="24"/>
      <c r="D19" s="24"/>
      <c r="E19" s="24"/>
      <c r="F19" s="24"/>
      <c r="G19" s="24"/>
      <c r="H19" s="24"/>
      <c r="I19" s="24"/>
      <c r="J19" s="24"/>
      <c r="K19" s="24"/>
      <c r="L19" s="24"/>
      <c r="M19" s="24"/>
    </row>
    <row r="20" spans="1:15">
      <c r="B20" s="26"/>
      <c r="C20" s="20"/>
      <c r="D20" s="20"/>
      <c r="E20" s="20"/>
      <c r="F20" s="20"/>
      <c r="G20" s="20"/>
      <c r="H20" s="20"/>
      <c r="I20" s="20"/>
      <c r="J20" s="20"/>
      <c r="K20" s="20"/>
      <c r="L20" s="20"/>
      <c r="M20" s="20"/>
    </row>
    <row r="21" spans="1:15">
      <c r="C21" s="39"/>
      <c r="D21" s="39"/>
      <c r="E21" s="39"/>
      <c r="F21" s="39"/>
      <c r="G21"/>
      <c r="H21"/>
      <c r="I21"/>
      <c r="J21"/>
      <c r="K21"/>
      <c r="L21"/>
      <c r="M21"/>
      <c r="N21" s="148"/>
      <c r="O21"/>
    </row>
    <row r="22" spans="1:15">
      <c r="A22" s="540"/>
      <c r="B22" s="540"/>
      <c r="C22" s="20"/>
      <c r="D22" s="20"/>
      <c r="E22" s="20"/>
      <c r="F22" s="20"/>
      <c r="G22"/>
      <c r="H22"/>
      <c r="I22"/>
      <c r="J22"/>
      <c r="K22"/>
      <c r="L22"/>
      <c r="M22"/>
      <c r="N22" s="148"/>
      <c r="O22"/>
    </row>
    <row r="23" spans="1:15">
      <c r="G23"/>
      <c r="H23"/>
      <c r="I23"/>
      <c r="J23"/>
      <c r="K23"/>
      <c r="L23"/>
      <c r="M23"/>
      <c r="N23" s="148"/>
      <c r="O23"/>
    </row>
    <row r="24" spans="1:15">
      <c r="G24"/>
      <c r="H24"/>
      <c r="I24"/>
      <c r="J24"/>
      <c r="K24"/>
      <c r="L24"/>
      <c r="M24"/>
      <c r="N24" s="148"/>
      <c r="O24"/>
    </row>
    <row r="25" spans="1:15">
      <c r="G25"/>
      <c r="H25"/>
      <c r="I25"/>
      <c r="J25"/>
      <c r="K25"/>
      <c r="L25"/>
      <c r="M25"/>
      <c r="N25" s="148"/>
      <c r="O25"/>
    </row>
  </sheetData>
  <customSheetViews>
    <customSheetView guid="{DC934874-AE9C-4DF4-8DA8-4394DABABB42}" showRuler="0">
      <selection activeCell="G15" sqref="G15"/>
      <pageMargins left="0" right="0" top="0" bottom="0" header="0" footer="0"/>
      <pageSetup orientation="portrait"/>
      <headerFooter alignWithMargins="0"/>
    </customSheetView>
    <customSheetView guid="{7FD89B2E-4983-4B8D-ABA2-A07F685A0C6E}" showRuler="0">
      <selection activeCell="G12" sqref="G12"/>
      <pageMargins left="0" right="0" top="0" bottom="0" header="0" footer="0"/>
      <pageSetup orientation="portrait"/>
      <headerFooter alignWithMargins="0"/>
    </customSheetView>
    <customSheetView guid="{84D8AC11-A493-4338-8044-6F4154C29695}" showRuler="0">
      <selection activeCell="G13" sqref="G13"/>
      <pageMargins left="0" right="0" top="0" bottom="0" header="0" footer="0"/>
      <pageSetup orientation="portrait"/>
      <headerFooter alignWithMargins="0"/>
    </customSheetView>
    <customSheetView guid="{BB157E55-0A2E-4D9F-A3BF-E83E5442FC27}" showPageBreaks="1" showRuler="0">
      <selection activeCell="A2" sqref="A2"/>
      <pageMargins left="0" right="0" top="0" bottom="0" header="0" footer="0"/>
      <pageSetup orientation="portrait"/>
      <headerFooter alignWithMargins="0"/>
    </customSheetView>
  </customSheetViews>
  <mergeCells count="2">
    <mergeCell ref="A22:B22"/>
    <mergeCell ref="A1:D1"/>
  </mergeCells>
  <phoneticPr fontId="0" type="noConversion"/>
  <pageMargins left="0" right="0" top="0.98425196850393704" bottom="0.98425196850393704" header="0.51181102362204722" footer="0.51181102362204722"/>
  <pageSetup paperSize="5" orientation="landscape" r:id="rId1"/>
  <headerFooter alignWithMargins="0"/>
  <legacyDrawing r:id="rId2"/>
  <tableParts count="2">
    <tablePart r:id="rId3"/>
    <tablePart r:id="rId4"/>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tabColor theme="1"/>
    <pageSetUpPr fitToPage="1"/>
  </sheetPr>
  <dimension ref="A1:O21"/>
  <sheetViews>
    <sheetView showGridLines="0" zoomScaleNormal="100" workbookViewId="0">
      <selection activeCell="B32" sqref="B32"/>
    </sheetView>
  </sheetViews>
  <sheetFormatPr defaultColWidth="11.42578125" defaultRowHeight="12.75"/>
  <cols>
    <col min="1" max="1" width="13.85546875" style="8" customWidth="1"/>
    <col min="2" max="2" width="18.7109375" style="8" bestFit="1" customWidth="1"/>
    <col min="3" max="3" width="19" style="8" hidden="1" customWidth="1"/>
    <col min="4" max="4" width="16" style="138" hidden="1" customWidth="1"/>
    <col min="5" max="5" width="16" style="8" hidden="1" customWidth="1"/>
    <col min="6" max="6" width="15.5703125" style="8" hidden="1" customWidth="1"/>
    <col min="7" max="7" width="15.42578125" style="8" customWidth="1"/>
    <col min="8" max="8" width="14.5703125" style="8" customWidth="1"/>
    <col min="9" max="9" width="14.140625" style="8" customWidth="1"/>
    <col min="10" max="11" width="14.5703125" style="8" customWidth="1"/>
    <col min="12" max="16384" width="11.42578125" style="8"/>
  </cols>
  <sheetData>
    <row r="1" spans="1:15" ht="18">
      <c r="A1" s="534" t="s">
        <v>700</v>
      </c>
      <c r="B1" s="534"/>
      <c r="C1" s="534"/>
    </row>
    <row r="2" spans="1:15">
      <c r="A2" s="28" t="s">
        <v>636</v>
      </c>
    </row>
    <row r="4" spans="1:15">
      <c r="B4" s="8" t="s">
        <v>47</v>
      </c>
      <c r="C4" s="8" t="s">
        <v>29</v>
      </c>
      <c r="D4" s="124" t="s">
        <v>30</v>
      </c>
      <c r="E4" s="8" t="s">
        <v>31</v>
      </c>
      <c r="F4" s="8" t="s">
        <v>32</v>
      </c>
      <c r="G4" s="8" t="s">
        <v>33</v>
      </c>
      <c r="H4" s="8" t="s">
        <v>34</v>
      </c>
      <c r="I4" s="8" t="s">
        <v>6</v>
      </c>
      <c r="J4" s="8" t="s">
        <v>7</v>
      </c>
      <c r="K4" s="8" t="s">
        <v>8</v>
      </c>
      <c r="L4" s="8" t="s">
        <v>105</v>
      </c>
    </row>
    <row r="5" spans="1:15">
      <c r="C5" s="16">
        <v>0</v>
      </c>
      <c r="D5" s="140">
        <v>0</v>
      </c>
      <c r="E5" s="16">
        <v>0</v>
      </c>
      <c r="F5" s="16"/>
      <c r="G5" s="15"/>
      <c r="H5" s="15"/>
      <c r="I5" s="15"/>
      <c r="J5" s="15"/>
      <c r="K5" s="15"/>
      <c r="L5" s="16"/>
    </row>
    <row r="6" spans="1:15">
      <c r="B6" s="8" t="s">
        <v>13</v>
      </c>
      <c r="C6" s="16">
        <f>SUBTOTAL(109,SRORevenues[Budget 15/16])</f>
        <v>0</v>
      </c>
      <c r="D6" s="140">
        <f>SUBTOTAL(109,SRORevenues[Actual 15/16])</f>
        <v>0</v>
      </c>
      <c r="E6" s="16">
        <f>SUBTOTAL(109,SRORevenues[Budget 16/17])</f>
        <v>0</v>
      </c>
      <c r="F6" s="16">
        <f>SUBTOTAL(109,SRORevenues[Actual 16/17])</f>
        <v>0</v>
      </c>
      <c r="G6" s="1">
        <f>SUBTOTAL(109,SRORevenues[Budget 17/18])</f>
        <v>0</v>
      </c>
      <c r="H6" s="1">
        <f>SUBTOTAL(109,SRORevenues[Revenues])</f>
        <v>0</v>
      </c>
      <c r="I6" s="1"/>
      <c r="J6" s="222"/>
      <c r="K6" s="1"/>
      <c r="L6" s="4"/>
    </row>
    <row r="7" spans="1:15">
      <c r="C7" s="24"/>
      <c r="G7"/>
      <c r="H7"/>
      <c r="I7"/>
      <c r="J7"/>
      <c r="K7"/>
      <c r="L7"/>
      <c r="M7"/>
      <c r="N7"/>
    </row>
    <row r="8" spans="1:15">
      <c r="C8" s="39"/>
      <c r="G8"/>
      <c r="H8"/>
      <c r="I8"/>
      <c r="J8"/>
      <c r="K8"/>
      <c r="L8"/>
      <c r="M8"/>
      <c r="N8"/>
    </row>
    <row r="9" spans="1:15">
      <c r="A9" s="48" t="s">
        <v>107</v>
      </c>
      <c r="B9" s="8" t="s">
        <v>61</v>
      </c>
      <c r="C9" s="8" t="s">
        <v>29</v>
      </c>
      <c r="D9" s="124" t="s">
        <v>30</v>
      </c>
      <c r="E9" s="8" t="s">
        <v>31</v>
      </c>
      <c r="F9" s="8" t="s">
        <v>32</v>
      </c>
      <c r="G9" s="8" t="s">
        <v>33</v>
      </c>
      <c r="H9" s="8" t="s">
        <v>34</v>
      </c>
      <c r="I9" s="8" t="s">
        <v>6</v>
      </c>
      <c r="J9" s="8" t="s">
        <v>7</v>
      </c>
      <c r="K9" s="8" t="s">
        <v>8</v>
      </c>
      <c r="L9" s="8" t="s">
        <v>105</v>
      </c>
      <c r="M9"/>
      <c r="N9"/>
      <c r="O9"/>
    </row>
    <row r="10" spans="1:15">
      <c r="A10" s="48" t="s">
        <v>701</v>
      </c>
      <c r="B10" s="8" t="s">
        <v>70</v>
      </c>
      <c r="C10" s="24">
        <v>500</v>
      </c>
      <c r="D10" s="139">
        <v>0</v>
      </c>
      <c r="E10" s="24">
        <v>400</v>
      </c>
      <c r="F10" s="24">
        <v>200</v>
      </c>
      <c r="G10" s="181">
        <v>400</v>
      </c>
      <c r="H10" s="181">
        <v>253.37</v>
      </c>
      <c r="I10" s="181">
        <v>300</v>
      </c>
      <c r="J10" s="181">
        <v>354.5</v>
      </c>
      <c r="K10" s="181">
        <v>300</v>
      </c>
      <c r="L10" s="181"/>
      <c r="M10"/>
      <c r="N10"/>
      <c r="O10"/>
    </row>
    <row r="11" spans="1:15">
      <c r="A11" s="48" t="s">
        <v>702</v>
      </c>
      <c r="B11" s="8" t="s">
        <v>74</v>
      </c>
      <c r="C11" s="24">
        <v>5</v>
      </c>
      <c r="D11" s="139">
        <v>0</v>
      </c>
      <c r="E11" s="24">
        <v>5</v>
      </c>
      <c r="F11" s="24"/>
      <c r="G11" s="181"/>
      <c r="H11" s="181"/>
      <c r="I11" s="181"/>
      <c r="J11" s="181"/>
      <c r="K11" s="181"/>
      <c r="L11" s="181"/>
      <c r="M11"/>
      <c r="N11"/>
      <c r="O11"/>
    </row>
    <row r="12" spans="1:15">
      <c r="A12" s="48" t="s">
        <v>703</v>
      </c>
      <c r="B12" s="8" t="s">
        <v>77</v>
      </c>
      <c r="C12" s="24">
        <v>150</v>
      </c>
      <c r="D12" s="139">
        <v>111.05</v>
      </c>
      <c r="E12" s="24">
        <v>150</v>
      </c>
      <c r="F12" s="24"/>
      <c r="G12" s="181">
        <v>200</v>
      </c>
      <c r="H12" s="181">
        <v>100.32</v>
      </c>
      <c r="I12" s="181">
        <v>125</v>
      </c>
      <c r="J12" s="181">
        <v>84.74</v>
      </c>
      <c r="K12" s="181">
        <v>100</v>
      </c>
      <c r="L12" s="181"/>
      <c r="M12"/>
      <c r="N12"/>
      <c r="O12"/>
    </row>
    <row r="13" spans="1:15">
      <c r="A13" s="48" t="s">
        <v>704</v>
      </c>
      <c r="B13" s="8" t="s">
        <v>138</v>
      </c>
      <c r="C13" s="24">
        <v>400</v>
      </c>
      <c r="D13" s="139">
        <v>26</v>
      </c>
      <c r="E13" s="24">
        <v>250</v>
      </c>
      <c r="F13" s="24">
        <v>89.92</v>
      </c>
      <c r="G13" s="181">
        <v>200</v>
      </c>
      <c r="H13" s="181">
        <v>94.33</v>
      </c>
      <c r="I13" s="181">
        <v>100</v>
      </c>
      <c r="J13" s="181"/>
      <c r="K13" s="181">
        <v>80</v>
      </c>
      <c r="L13" s="181"/>
      <c r="M13"/>
      <c r="N13"/>
      <c r="O13"/>
    </row>
    <row r="14" spans="1:15">
      <c r="A14" s="48" t="s">
        <v>705</v>
      </c>
      <c r="B14" s="8" t="s">
        <v>81</v>
      </c>
      <c r="C14" s="24">
        <v>500</v>
      </c>
      <c r="D14" s="139">
        <v>34.56</v>
      </c>
      <c r="E14" s="24">
        <v>400</v>
      </c>
      <c r="F14" s="24">
        <v>222.69</v>
      </c>
      <c r="G14" s="181">
        <v>400</v>
      </c>
      <c r="H14" s="181">
        <v>143.38999999999999</v>
      </c>
      <c r="I14" s="181">
        <v>250</v>
      </c>
      <c r="J14" s="181">
        <v>235.5</v>
      </c>
      <c r="K14" s="181">
        <v>250</v>
      </c>
      <c r="L14" s="181"/>
      <c r="M14"/>
      <c r="N14"/>
      <c r="O14"/>
    </row>
    <row r="15" spans="1:15">
      <c r="A15" s="48" t="s">
        <v>706</v>
      </c>
      <c r="B15" s="8" t="s">
        <v>83</v>
      </c>
      <c r="C15" s="24">
        <v>500</v>
      </c>
      <c r="D15" s="139">
        <v>0</v>
      </c>
      <c r="E15" s="24">
        <v>500</v>
      </c>
      <c r="F15" s="24">
        <v>0</v>
      </c>
      <c r="G15" s="181">
        <v>500</v>
      </c>
      <c r="H15" s="181">
        <v>337.93</v>
      </c>
      <c r="I15" s="181">
        <v>400</v>
      </c>
      <c r="J15" s="181">
        <v>16.29</v>
      </c>
      <c r="K15" s="181">
        <v>500</v>
      </c>
      <c r="L15" s="181"/>
      <c r="M15"/>
      <c r="N15"/>
      <c r="O15"/>
    </row>
    <row r="16" spans="1:15">
      <c r="A16" s="48" t="s">
        <v>707</v>
      </c>
      <c r="B16" s="8" t="s">
        <v>89</v>
      </c>
      <c r="C16" s="24">
        <v>500</v>
      </c>
      <c r="D16" s="139">
        <v>19.2</v>
      </c>
      <c r="E16" s="24">
        <v>400</v>
      </c>
      <c r="F16" s="24">
        <v>0</v>
      </c>
      <c r="G16" s="181">
        <v>200</v>
      </c>
      <c r="H16" s="181">
        <v>397.17</v>
      </c>
      <c r="I16" s="181">
        <v>300</v>
      </c>
      <c r="J16" s="181">
        <v>1062.0899999999999</v>
      </c>
      <c r="K16" s="181">
        <v>300</v>
      </c>
      <c r="L16" s="181"/>
      <c r="M16"/>
      <c r="N16"/>
      <c r="O16"/>
    </row>
    <row r="17" spans="1:15">
      <c r="A17" s="48" t="s">
        <v>708</v>
      </c>
      <c r="B17" s="8" t="s">
        <v>87</v>
      </c>
      <c r="C17" s="24">
        <v>236.01</v>
      </c>
      <c r="D17" s="139">
        <v>0</v>
      </c>
      <c r="E17" s="24">
        <v>0</v>
      </c>
      <c r="F17" s="24"/>
      <c r="G17" s="181"/>
      <c r="H17" s="181"/>
      <c r="I17" s="181"/>
      <c r="J17" s="181"/>
      <c r="K17" s="181"/>
      <c r="L17" s="181"/>
      <c r="M17"/>
      <c r="N17"/>
      <c r="O17"/>
    </row>
    <row r="18" spans="1:15">
      <c r="A18" s="49" t="s">
        <v>709</v>
      </c>
      <c r="B18" s="8" t="s">
        <v>710</v>
      </c>
      <c r="C18" s="24">
        <v>0</v>
      </c>
      <c r="D18" s="139">
        <v>0</v>
      </c>
      <c r="E18" s="24">
        <v>0</v>
      </c>
      <c r="F18" s="24"/>
      <c r="G18" s="24"/>
      <c r="H18" s="24">
        <v>76.510000000000005</v>
      </c>
      <c r="I18" s="24"/>
      <c r="J18" s="24"/>
      <c r="K18" s="24"/>
      <c r="L18" s="24"/>
    </row>
    <row r="19" spans="1:15">
      <c r="B19" s="222" t="s">
        <v>13</v>
      </c>
      <c r="C19" s="313">
        <f>SUBTOTAL(109,SROExpenses[Budget 15/16])</f>
        <v>2791.01</v>
      </c>
      <c r="D19" s="314">
        <f>SUBTOTAL(109,SROExpenses[Actual 15/16])</f>
        <v>190.81</v>
      </c>
      <c r="E19" s="313">
        <f>SUBTOTAL(109,SROExpenses[Budget 16/17])</f>
        <v>2105</v>
      </c>
      <c r="F19" s="313">
        <f>SUBTOTAL(109,SROExpenses[Actual 16/17])</f>
        <v>512.61</v>
      </c>
      <c r="G19" s="313">
        <f>SUBTOTAL(109,SROExpenses[Budget 17/18])</f>
        <v>1900</v>
      </c>
      <c r="H19" s="315">
        <f>SUBTOTAL(109,SROExpenses[Actual 17/18])</f>
        <v>1403.02</v>
      </c>
      <c r="I19" s="315">
        <f>SUM(SROExpenses[Budget 18/19])</f>
        <v>1475</v>
      </c>
      <c r="J19" s="315">
        <f>SUM(SROExpenses[Actual 18/19])</f>
        <v>1753.12</v>
      </c>
      <c r="K19" s="315">
        <f>SUM(SROExpenses[Budget 19/20])</f>
        <v>1530</v>
      </c>
      <c r="L19" s="315"/>
    </row>
    <row r="20" spans="1:15" ht="13.5" thickBot="1"/>
    <row r="21" spans="1:15" ht="19.5" thickBot="1">
      <c r="B21" s="452" t="s">
        <v>102</v>
      </c>
      <c r="C21" s="27">
        <f>SRORevenues[[#Totals],[Budget 15/16]]-SROExpenses[[#Totals],[Budget 15/16]]</f>
        <v>-2791.01</v>
      </c>
      <c r="D21" s="27">
        <f>SRORevenues[[#Totals],[Actual 15/16]]-SROExpenses[[#Totals],[Actual 15/16]]</f>
        <v>-190.81</v>
      </c>
      <c r="E21" s="66">
        <f>SRORevenues[[#Totals],[Budget 16/17]]-SROExpenses[[#Totals],[Budget 16/17]]</f>
        <v>-2105</v>
      </c>
      <c r="F21" s="66">
        <f>SRORevenues[[#Totals],[Actual 16/17]]-SROExpenses[[#Totals],[Actual 16/17]]</f>
        <v>-512.61</v>
      </c>
      <c r="G21" s="66">
        <f>SRORevenues[[#Totals],[Budget 17/18]]-SROExpenses[[#Totals],[Budget 17/18]]</f>
        <v>-1900</v>
      </c>
      <c r="H21" s="66">
        <f>SRORevenues[[#Totals],[Actual 17/18]]-SROExpenses[[#Totals],[Actual 17/18]]</f>
        <v>-1403.02</v>
      </c>
      <c r="I21" s="66">
        <f>SRORevenues[[#Totals],[Budget 18/19]]-SROExpenses[[#Totals],[Budget 18/19]]</f>
        <v>-1475</v>
      </c>
      <c r="J21" s="66">
        <f>SRORevenues[[#Totals],[Actual 18/19]]-SROExpenses[[#Totals],[Actual 18/19]]</f>
        <v>-1753.12</v>
      </c>
      <c r="K21" s="66">
        <f>SRORevenues[[#Totals],[Budget 19/20]]-SROExpenses[[#Totals],[Budget 19/20]]</f>
        <v>-1530</v>
      </c>
      <c r="L21" s="66"/>
    </row>
  </sheetData>
  <mergeCells count="1">
    <mergeCell ref="A1:C1"/>
  </mergeCells>
  <pageMargins left="0" right="0" top="0.98425196850393704" bottom="0.98425196850393704" header="0.51181102362204722" footer="0.51181102362204722"/>
  <pageSetup paperSize="5" orientation="landscape" r:id="rId1"/>
  <headerFooter alignWithMargins="0"/>
  <tableParts count="2">
    <tablePart r:id="rId2"/>
    <tablePart r:id="rId3"/>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9">
    <tabColor rgb="FFFFFF00"/>
    <pageSetUpPr fitToPage="1"/>
  </sheetPr>
  <dimension ref="A1:W34"/>
  <sheetViews>
    <sheetView showGridLines="0" zoomScale="120" zoomScaleNormal="120" workbookViewId="0">
      <selection activeCell="R18" sqref="R18"/>
    </sheetView>
  </sheetViews>
  <sheetFormatPr defaultColWidth="11.42578125" defaultRowHeight="12.75"/>
  <cols>
    <col min="1" max="1" width="58.28515625" customWidth="1"/>
    <col min="2" max="11" width="14.7109375" hidden="1" customWidth="1"/>
    <col min="12" max="13" width="11.85546875" hidden="1" customWidth="1"/>
    <col min="14" max="15" width="11.42578125" hidden="1" customWidth="1"/>
    <col min="16" max="16" width="11.85546875" hidden="1" customWidth="1"/>
    <col min="17" max="17" width="15.5703125" style="5" hidden="1" customWidth="1"/>
    <col min="18" max="18" width="19.28515625" customWidth="1"/>
    <col min="19" max="19" width="15" customWidth="1"/>
    <col min="20" max="20" width="14.5703125" customWidth="1"/>
  </cols>
  <sheetData>
    <row r="1" spans="1:23" ht="18">
      <c r="A1" s="88" t="s">
        <v>711</v>
      </c>
      <c r="B1" s="8"/>
      <c r="C1" s="8"/>
      <c r="D1" s="8"/>
      <c r="E1" s="8"/>
      <c r="F1" s="8"/>
      <c r="G1" s="8"/>
      <c r="H1" s="8"/>
      <c r="I1" s="8"/>
      <c r="J1" s="8"/>
      <c r="K1" s="8"/>
      <c r="L1" s="8"/>
      <c r="M1" s="8"/>
      <c r="N1" s="8"/>
      <c r="O1" s="8"/>
    </row>
    <row r="2" spans="1:23">
      <c r="A2" s="28" t="s">
        <v>163</v>
      </c>
      <c r="B2" s="8"/>
      <c r="C2" s="8"/>
      <c r="D2" s="8"/>
      <c r="E2" s="8"/>
      <c r="F2" s="8"/>
      <c r="G2" s="8"/>
      <c r="H2" s="8"/>
      <c r="I2" s="8"/>
      <c r="J2" s="8"/>
      <c r="K2" s="8"/>
      <c r="L2" s="8"/>
      <c r="M2" s="8"/>
      <c r="N2" s="8"/>
      <c r="O2" s="8"/>
    </row>
    <row r="3" spans="1:23">
      <c r="A3" s="8"/>
      <c r="B3" s="8"/>
      <c r="C3" s="8"/>
      <c r="D3" s="8"/>
      <c r="E3" s="8"/>
      <c r="F3" s="8"/>
      <c r="G3" s="8"/>
      <c r="H3" s="8"/>
      <c r="I3" s="8"/>
      <c r="J3" s="8"/>
      <c r="K3" s="8"/>
      <c r="L3" s="8"/>
      <c r="M3" s="8"/>
      <c r="N3" s="8"/>
      <c r="O3" s="8"/>
    </row>
    <row r="4" spans="1:23">
      <c r="A4" s="8" t="s">
        <v>18</v>
      </c>
      <c r="B4" s="8" t="s">
        <v>48</v>
      </c>
      <c r="C4" s="8" t="s">
        <v>49</v>
      </c>
      <c r="D4" s="8" t="s">
        <v>50</v>
      </c>
      <c r="E4" s="8" t="s">
        <v>51</v>
      </c>
      <c r="F4" s="8" t="s">
        <v>52</v>
      </c>
      <c r="G4" s="8" t="s">
        <v>53</v>
      </c>
      <c r="H4" s="8" t="s">
        <v>54</v>
      </c>
      <c r="I4" s="8" t="s">
        <v>55</v>
      </c>
      <c r="J4" s="8" t="s">
        <v>56</v>
      </c>
      <c r="K4" s="8" t="s">
        <v>104</v>
      </c>
      <c r="L4" s="8" t="s">
        <v>29</v>
      </c>
      <c r="M4" s="8" t="s">
        <v>30</v>
      </c>
      <c r="N4" s="8" t="s">
        <v>31</v>
      </c>
      <c r="O4" s="8" t="s">
        <v>32</v>
      </c>
      <c r="P4" s="8" t="s">
        <v>33</v>
      </c>
      <c r="Q4" s="8" t="s">
        <v>34</v>
      </c>
      <c r="R4" s="8" t="s">
        <v>6</v>
      </c>
      <c r="S4" s="8" t="s">
        <v>7</v>
      </c>
      <c r="T4" s="8" t="s">
        <v>8</v>
      </c>
      <c r="U4" s="8" t="s">
        <v>105</v>
      </c>
      <c r="W4" s="12" t="s">
        <v>36</v>
      </c>
    </row>
    <row r="5" spans="1:23">
      <c r="A5" s="8" t="s">
        <v>712</v>
      </c>
      <c r="B5" s="20"/>
      <c r="C5" s="20"/>
      <c r="D5" s="20"/>
      <c r="E5" s="20"/>
      <c r="F5" s="20"/>
      <c r="G5" s="20"/>
      <c r="H5" s="20"/>
      <c r="I5" s="20"/>
      <c r="J5" s="20"/>
      <c r="K5" s="20"/>
      <c r="L5" s="20"/>
      <c r="M5" s="20"/>
      <c r="N5" s="20"/>
      <c r="O5" s="20"/>
      <c r="P5" s="20"/>
      <c r="Q5" s="20"/>
      <c r="R5" s="20">
        <v>0</v>
      </c>
      <c r="S5" s="20">
        <v>0</v>
      </c>
      <c r="T5" s="20">
        <v>0</v>
      </c>
      <c r="U5" s="20"/>
      <c r="W5" s="323"/>
    </row>
    <row r="6" spans="1:23">
      <c r="A6" s="8" t="s">
        <v>713</v>
      </c>
      <c r="B6" s="20"/>
      <c r="C6" s="20"/>
      <c r="D6" s="20"/>
      <c r="E6" s="20"/>
      <c r="F6" s="20"/>
      <c r="G6" s="20"/>
      <c r="H6" s="20"/>
      <c r="I6" s="20"/>
      <c r="J6" s="20"/>
      <c r="K6" s="20"/>
      <c r="L6" s="20"/>
      <c r="M6" s="20"/>
      <c r="N6" s="20"/>
      <c r="O6" s="20"/>
      <c r="P6" s="20"/>
      <c r="Q6" s="20"/>
      <c r="R6" s="20">
        <v>0</v>
      </c>
      <c r="S6" s="20">
        <v>0</v>
      </c>
      <c r="T6" s="20">
        <v>1108.8119999999999</v>
      </c>
      <c r="U6" s="20"/>
      <c r="W6" s="323"/>
    </row>
    <row r="7" spans="1:23">
      <c r="A7" s="8" t="s">
        <v>714</v>
      </c>
      <c r="B7" s="20"/>
      <c r="C7" s="20"/>
      <c r="D7" s="20"/>
      <c r="E7" s="20"/>
      <c r="F7" s="20"/>
      <c r="G7" s="20"/>
      <c r="H7" s="20"/>
      <c r="I7" s="20"/>
      <c r="J7" s="20"/>
      <c r="K7" s="20"/>
      <c r="L7" s="20"/>
      <c r="M7" s="20"/>
      <c r="N7" s="20"/>
      <c r="O7" s="20"/>
      <c r="P7" s="20"/>
      <c r="Q7" s="20"/>
      <c r="R7" s="15">
        <v>2260910.6702320259</v>
      </c>
      <c r="S7" s="15">
        <v>1992720.7200000007</v>
      </c>
      <c r="T7" s="15">
        <v>1805872.6006811499</v>
      </c>
      <c r="U7" s="15"/>
      <c r="W7" s="324">
        <f>(VPOFSummary69[[#This Row],[Budget 19/20]]-VPOFSummary69[[#This Row],[Budget 18/19]])/VPOFSummary69[[#This Row],[Budget 18/19]]</f>
        <v>-0.20126317927641862</v>
      </c>
    </row>
    <row r="8" spans="1:23">
      <c r="A8" s="8" t="s">
        <v>715</v>
      </c>
      <c r="B8" s="20"/>
      <c r="C8" s="20"/>
      <c r="D8" s="20"/>
      <c r="E8" s="20"/>
      <c r="F8" s="20"/>
      <c r="G8" s="20"/>
      <c r="H8" s="20"/>
      <c r="I8" s="20"/>
      <c r="J8" s="20"/>
      <c r="K8" s="20"/>
      <c r="L8" s="20"/>
      <c r="M8" s="20"/>
      <c r="N8" s="20"/>
      <c r="O8" s="20"/>
      <c r="P8" s="20"/>
      <c r="Q8" s="20"/>
      <c r="R8" s="15">
        <v>0</v>
      </c>
      <c r="S8" s="15">
        <v>0</v>
      </c>
      <c r="T8" s="15">
        <v>0</v>
      </c>
      <c r="U8" s="15"/>
      <c r="W8" s="324"/>
    </row>
    <row r="9" spans="1:23">
      <c r="A9" s="8" t="s">
        <v>716</v>
      </c>
      <c r="B9" s="20"/>
      <c r="C9" s="20"/>
      <c r="D9" s="20"/>
      <c r="E9" s="20"/>
      <c r="F9" s="20"/>
      <c r="G9" s="20"/>
      <c r="H9" s="20"/>
      <c r="I9" s="20"/>
      <c r="J9" s="20"/>
      <c r="K9" s="20"/>
      <c r="L9" s="20"/>
      <c r="M9" s="20"/>
      <c r="N9" s="20"/>
      <c r="O9" s="20"/>
      <c r="P9" s="20"/>
      <c r="Q9" s="20"/>
      <c r="R9" s="15">
        <v>3420000</v>
      </c>
      <c r="S9" s="15">
        <v>3420000</v>
      </c>
      <c r="T9" s="1">
        <v>3786337.852</v>
      </c>
      <c r="U9" s="15"/>
      <c r="W9" s="324"/>
    </row>
    <row r="10" spans="1:23">
      <c r="A10" s="8" t="s">
        <v>717</v>
      </c>
      <c r="B10" s="20"/>
      <c r="C10" s="20"/>
      <c r="D10" s="20"/>
      <c r="E10" s="20"/>
      <c r="F10" s="20"/>
      <c r="G10" s="20"/>
      <c r="H10" s="20"/>
      <c r="I10" s="20"/>
      <c r="J10" s="20"/>
      <c r="K10" s="20"/>
      <c r="L10" s="20"/>
      <c r="M10" s="20"/>
      <c r="N10" s="20"/>
      <c r="O10" s="20"/>
      <c r="P10" s="20"/>
      <c r="Q10" s="20"/>
      <c r="R10" s="15">
        <v>144372</v>
      </c>
      <c r="S10" s="15">
        <v>118192.23999999999</v>
      </c>
      <c r="T10" s="15">
        <v>163545.04</v>
      </c>
      <c r="U10" s="15"/>
      <c r="W10" s="324">
        <f>(VPOFSummary69[[#This Row],[Budget 19/20]]-VPOFSummary69[[#This Row],[Budget 18/19]])/VPOFSummary69[[#This Row],[Budget 18/19]]</f>
        <v>0.13280303659989479</v>
      </c>
    </row>
    <row r="11" spans="1:23">
      <c r="A11" s="8" t="s">
        <v>13</v>
      </c>
      <c r="B11" s="20"/>
      <c r="C11" s="20"/>
      <c r="D11" s="20"/>
      <c r="E11" s="20"/>
      <c r="F11" s="20"/>
      <c r="G11" s="20"/>
      <c r="H11" s="20"/>
      <c r="I11" s="20"/>
      <c r="J11" s="20"/>
      <c r="K11" s="20"/>
      <c r="L11" s="20"/>
      <c r="M11" s="20"/>
      <c r="N11" s="20"/>
      <c r="O11" s="20"/>
      <c r="P11" s="20"/>
      <c r="Q11" s="20"/>
      <c r="R11" s="20">
        <f>SUBTOTAL(109,VPOFSummary69[Budget 18/19])</f>
        <v>5825282.6702320259</v>
      </c>
      <c r="S11" s="20">
        <f>SUBTOTAL(109,VPOFSummary69[Actual 18/19])</f>
        <v>5530912.9600000009</v>
      </c>
      <c r="T11" s="20">
        <f>SUBTOTAL(109,VPOFSummary69[Budget 19/20])</f>
        <v>5756864.3046811493</v>
      </c>
      <c r="U11" s="20"/>
      <c r="W11" s="324">
        <f>(VPOFSummary69[[#Totals],[Budget 19/20]]-VPOFSummary69[[#Totals],[Budget 18/19]])/VPOFSummary69[[#Totals],[Budget 18/19]]</f>
        <v>-1.1745072200616736E-2</v>
      </c>
    </row>
    <row r="13" spans="1:23">
      <c r="A13" s="8" t="s">
        <v>42</v>
      </c>
      <c r="B13" s="8" t="s">
        <v>48</v>
      </c>
      <c r="C13" s="8" t="s">
        <v>49</v>
      </c>
      <c r="D13" s="8" t="s">
        <v>50</v>
      </c>
      <c r="E13" s="8" t="s">
        <v>51</v>
      </c>
      <c r="F13" s="8" t="s">
        <v>52</v>
      </c>
      <c r="G13" s="8" t="s">
        <v>53</v>
      </c>
      <c r="H13" s="8" t="s">
        <v>54</v>
      </c>
      <c r="I13" s="8" t="s">
        <v>55</v>
      </c>
      <c r="J13" s="8" t="s">
        <v>56</v>
      </c>
      <c r="K13" s="8" t="s">
        <v>104</v>
      </c>
      <c r="L13" s="8" t="s">
        <v>29</v>
      </c>
      <c r="M13" s="8" t="s">
        <v>30</v>
      </c>
      <c r="N13" s="8" t="s">
        <v>31</v>
      </c>
      <c r="O13" s="8" t="s">
        <v>32</v>
      </c>
      <c r="P13" s="8" t="s">
        <v>33</v>
      </c>
      <c r="Q13" s="8" t="s">
        <v>34</v>
      </c>
      <c r="R13" s="8" t="s">
        <v>6</v>
      </c>
      <c r="S13" s="8" t="s">
        <v>7</v>
      </c>
      <c r="T13" s="8" t="s">
        <v>8</v>
      </c>
      <c r="U13" s="8" t="s">
        <v>105</v>
      </c>
      <c r="W13" s="12" t="s">
        <v>36</v>
      </c>
    </row>
    <row r="14" spans="1:23">
      <c r="A14" s="8" t="s">
        <v>712</v>
      </c>
      <c r="B14" s="20">
        <f>VPOFRevenues[[#Totals],[Budget 10/11]]-VPOFExpenses[[#Totals],[Budget 10/11]]</f>
        <v>-132275.88</v>
      </c>
      <c r="C14" s="20">
        <f>VPOFRevenues[[#Totals],[Actual 10/11]]-VPOFExpenses[[#Totals],[Actual 10/11]]</f>
        <v>-117103.85000000002</v>
      </c>
      <c r="D14" s="20">
        <f>VPOFRevenues[[#Totals],[Budget 11/12]]-VPOFExpenses[[#Totals],[Budget 11/12]]</f>
        <v>-157430.41</v>
      </c>
      <c r="E14" s="20">
        <f>VPOFRevenues[[#Totals],[Actual 11/12]]-VPOFExpenses[[#Totals],[Actual 11/12]]</f>
        <v>-123205.68999999999</v>
      </c>
      <c r="F14" s="20">
        <f>VPOFRevenues[[#Totals],[Budget 12/13]]-VPOFExpenses[[#Totals],[Budget 12/13]]</f>
        <v>-97678.733500000002</v>
      </c>
      <c r="G14" s="20">
        <f>VPOFRevenues[[#Totals],[Actual 12/13]]-VPOFExpenses[[#Totals],[Actual 12/13]]</f>
        <v>-64348.14</v>
      </c>
      <c r="H14" s="20">
        <f>VPOFRevenues[[#Totals],[Budget 13/14]]-VPOFExpenses[[#Totals],[Budget 13/14]]</f>
        <v>-100121.2</v>
      </c>
      <c r="I14" s="20">
        <f>VPOFRevenues[[#Totals],[Actual 13/14]]-VPOFExpenses[[#Totals],[Actual 13/14]]</f>
        <v>-63102.339999999989</v>
      </c>
      <c r="J14" s="20">
        <f>VPOFRevenues[[#Totals],[Budget 14/15]]-VPOFExpenses[[#Totals],[Budget 14/15]]</f>
        <v>-78930.03</v>
      </c>
      <c r="K14" s="20">
        <f>VPOFRevenues[[#Totals],[Actual 14/15]]-VPOFExpenses[[#Totals],[Actual 14/15]]</f>
        <v>-59416.929999999986</v>
      </c>
      <c r="L14" s="20">
        <f>VPOFRevenues[[#Totals],[Budget 15/16]]-VPOFExpenses[[#Totals],[Budget 15/16]]</f>
        <v>-78572.12000000001</v>
      </c>
      <c r="M14" s="20">
        <f>VPOFRevenues[[#Totals],[Actual 15/16]]-VPOFExpenses[[#Totals],[Actual 15/16]]</f>
        <v>-63730.510000000009</v>
      </c>
      <c r="N14" s="20">
        <f>VPOFRevenues[[#Totals],[Budget 16/17]]-VPOFExpenses[[#Totals],[Budget 16/17]]</f>
        <v>-81943.880759999985</v>
      </c>
      <c r="O14" s="20">
        <f>VPOFRevenues[[#Totals],[Actual 16/17]]-VPOFExpenses[[#Totals],[Actual 16/17]]</f>
        <v>-65667.130000000019</v>
      </c>
      <c r="P14" s="20">
        <f>VPOFRevenues[[#Totals],[Budget 17/18]]-VPOFExpenses[[#Totals],[Budget 17/18]]</f>
        <v>-77621.180000000008</v>
      </c>
      <c r="Q14" s="20">
        <f>VPOFRevenues[[#Totals],[Actual 17/18]]-VPOFExpenses[[#Totals],[Actual 17/18]]</f>
        <v>-67560.060000000012</v>
      </c>
      <c r="R14" s="20">
        <v>72173.680000000008</v>
      </c>
      <c r="S14" s="20">
        <v>63806.929999999993</v>
      </c>
      <c r="T14" s="20">
        <v>75141.740839999999</v>
      </c>
      <c r="U14" s="20"/>
      <c r="W14" s="323">
        <f>(VPOFSummary[[#This Row],[Budget 19/20]]-VPOFSummary[[#This Row],[Budget 18/19]])/VPOFSummary[[#This Row],[Budget 18/19]]</f>
        <v>4.1123867315619636E-2</v>
      </c>
    </row>
    <row r="15" spans="1:23">
      <c r="A15" s="8" t="s">
        <v>713</v>
      </c>
      <c r="B15" s="20">
        <v>0</v>
      </c>
      <c r="C15" s="20">
        <v>0</v>
      </c>
      <c r="D15" s="20">
        <v>0</v>
      </c>
      <c r="E15" s="20">
        <v>0</v>
      </c>
      <c r="F15" s="20">
        <v>0</v>
      </c>
      <c r="G15" s="20">
        <v>0</v>
      </c>
      <c r="H15" s="20">
        <v>0</v>
      </c>
      <c r="I15" s="20">
        <v>0</v>
      </c>
      <c r="J15" s="20">
        <v>0</v>
      </c>
      <c r="K15" s="20">
        <v>0</v>
      </c>
      <c r="L15" s="20">
        <f>DirectorofCommercialOpsRevenues[[#Totals],[Budget 15/16]]-DirectorofCommercialOpsExpenses[[#Totals],[Budget 15/16]]</f>
        <v>-4980</v>
      </c>
      <c r="M15" s="20">
        <f>DirectorofCommercialOpsRevenues[[#Totals],[Actual 15/16]]-DirectorofCommercialOpsExpenses[[#Totals],[Actual 15/16]]</f>
        <v>-3215.3099999999995</v>
      </c>
      <c r="N15" s="20">
        <f>DirectorofCommercialOpsRevenues[[#Totals],[Budget 16/17]]-DirectorofCommercialOpsExpenses[[#Totals],[Budget 16/17]]</f>
        <v>-4920</v>
      </c>
      <c r="O15" s="20">
        <f>DirectorofCommercialOpsRevenues[[#Totals],[Actual 16/17]]-DirectorofCommercialOpsExpenses[[#Totals],[Actual 16/17]]</f>
        <v>-3222.9300000000003</v>
      </c>
      <c r="P15" s="20">
        <f>DirectorofCommercialOpsRevenues[[#Totals],[Budget 17/18]]-DirectorofCommercialOpsExpenses[[#Totals],[Budget 17/18]]</f>
        <v>-4310</v>
      </c>
      <c r="Q15" s="20">
        <f>'Dir Ops &amp; Dev (11100)'!H21</f>
        <v>-2825.2200000000003</v>
      </c>
      <c r="R15" s="20">
        <v>3505</v>
      </c>
      <c r="S15" s="20">
        <v>3667.06</v>
      </c>
      <c r="T15" s="20">
        <v>3696.04</v>
      </c>
      <c r="U15" s="20"/>
      <c r="W15" s="323">
        <f>(VPOFSummary[[#This Row],[Budget 19/20]]-VPOFSummary[[#This Row],[Budget 18/19]])/VPOFSummary[[#This Row],[Budget 18/19]]</f>
        <v>5.4504992867332375E-2</v>
      </c>
    </row>
    <row r="16" spans="1:23">
      <c r="A16" s="8" t="s">
        <v>714</v>
      </c>
      <c r="B16" s="20"/>
      <c r="C16" s="20"/>
      <c r="D16" s="20"/>
      <c r="E16" s="20"/>
      <c r="F16" s="20"/>
      <c r="G16" s="20"/>
      <c r="H16" s="20"/>
      <c r="I16" s="20"/>
      <c r="J16" s="20"/>
      <c r="K16" s="20"/>
      <c r="L16" s="20"/>
      <c r="M16" s="20"/>
      <c r="N16" s="20"/>
      <c r="O16" s="20"/>
      <c r="P16" s="20"/>
      <c r="Q16" s="20"/>
      <c r="R16" s="15">
        <v>2627623.9345023204</v>
      </c>
      <c r="S16" s="15">
        <v>2551333.8220000002</v>
      </c>
      <c r="T16" s="15">
        <v>1836271.5581070443</v>
      </c>
      <c r="U16" s="15"/>
      <c r="W16" s="323">
        <f>(VPOFSummary[[#This Row],[Budget 19/20]]-VPOFSummary[[#This Row],[Budget 18/19]])/VPOFSummary[[#This Row],[Budget 18/19]]</f>
        <v>-0.30116652767708957</v>
      </c>
    </row>
    <row r="17" spans="1:23">
      <c r="A17" s="8" t="s">
        <v>715</v>
      </c>
      <c r="B17" s="20"/>
      <c r="C17" s="20"/>
      <c r="D17" s="20"/>
      <c r="E17" s="20"/>
      <c r="F17" s="20"/>
      <c r="G17" s="20"/>
      <c r="H17" s="20"/>
      <c r="I17" s="20"/>
      <c r="J17" s="20"/>
      <c r="K17" s="20"/>
      <c r="L17" s="20"/>
      <c r="M17" s="20"/>
      <c r="N17" s="20"/>
      <c r="O17" s="20"/>
      <c r="P17" s="20"/>
      <c r="Q17" s="20"/>
      <c r="R17" s="15">
        <v>277300.16000000003</v>
      </c>
      <c r="S17" s="15">
        <v>277540.16000000003</v>
      </c>
      <c r="T17" s="15">
        <v>390522.08591999998</v>
      </c>
      <c r="U17" s="15"/>
      <c r="W17" s="323">
        <f>(VPOFSummary[[#This Row],[Budget 19/20]]-VPOFSummary[[#This Row],[Budget 18/19]])/VPOFSummary[[#This Row],[Budget 18/19]]</f>
        <v>0.40830097580902924</v>
      </c>
    </row>
    <row r="18" spans="1:23">
      <c r="A18" s="8" t="s">
        <v>718</v>
      </c>
      <c r="B18" s="20"/>
      <c r="C18" s="20"/>
      <c r="D18" s="20"/>
      <c r="E18" s="20"/>
      <c r="F18" s="20"/>
      <c r="G18" s="20"/>
      <c r="H18" s="20"/>
      <c r="I18" s="20"/>
      <c r="J18" s="20"/>
      <c r="K18" s="20"/>
      <c r="L18" s="20"/>
      <c r="M18" s="20"/>
      <c r="N18" s="20"/>
      <c r="O18" s="20"/>
      <c r="P18" s="20"/>
      <c r="Q18" s="20"/>
      <c r="R18" s="15">
        <v>956883.51000000187</v>
      </c>
      <c r="S18" s="15">
        <v>765506.80800000159</v>
      </c>
      <c r="T18" s="15">
        <v>1023284.0329999998</v>
      </c>
      <c r="U18" s="15"/>
      <c r="W18" s="323"/>
    </row>
    <row r="19" spans="1:23">
      <c r="A19" s="8" t="s">
        <v>719</v>
      </c>
      <c r="B19" s="20"/>
      <c r="C19" s="20"/>
      <c r="D19" s="20"/>
      <c r="E19" s="20"/>
      <c r="F19" s="20"/>
      <c r="G19" s="20"/>
      <c r="H19" s="20"/>
      <c r="I19" s="20"/>
      <c r="J19" s="20"/>
      <c r="K19" s="20"/>
      <c r="L19" s="20"/>
      <c r="M19" s="20"/>
      <c r="N19" s="20"/>
      <c r="O19" s="20"/>
      <c r="P19" s="20"/>
      <c r="Q19" s="20"/>
      <c r="R19" s="389">
        <v>1382194.09</v>
      </c>
      <c r="S19" s="15">
        <v>1382194.09</v>
      </c>
      <c r="T19" s="15">
        <v>1383410</v>
      </c>
      <c r="U19" s="15"/>
      <c r="W19" s="323">
        <f>(VPOFSummary[[#This Row],[Budget 19/20]]-VPOFSummary[[#This Row],[Budget 18/19]])/VPOFSummary[[#This Row],[Budget 18/19]]</f>
        <v>8.7969555708338767E-4</v>
      </c>
    </row>
    <row r="20" spans="1:23">
      <c r="A20" s="8" t="s">
        <v>717</v>
      </c>
      <c r="B20" s="20"/>
      <c r="C20" s="20"/>
      <c r="D20" s="20"/>
      <c r="E20" s="20"/>
      <c r="F20" s="20"/>
      <c r="G20" s="20"/>
      <c r="H20" s="20"/>
      <c r="I20" s="20"/>
      <c r="J20" s="20"/>
      <c r="K20" s="20"/>
      <c r="L20" s="20"/>
      <c r="M20" s="20"/>
      <c r="N20" s="20"/>
      <c r="O20" s="20"/>
      <c r="P20" s="20"/>
      <c r="Q20" s="20"/>
      <c r="R20" s="15">
        <v>366333.2</v>
      </c>
      <c r="S20" s="15">
        <v>284294.08</v>
      </c>
      <c r="T20" s="15">
        <v>345332.25</v>
      </c>
      <c r="U20" s="15"/>
      <c r="W20" s="324">
        <f>(VPOFSummary[[#Totals],[Budget 19/20]]-VPOFSummary[[#Totals],[Budget 18/19]])/VPOFSummary[[#Totals],[Budget 18/19]]</f>
        <v>-0.11050903386038374</v>
      </c>
    </row>
    <row r="21" spans="1:23">
      <c r="A21" s="8" t="s">
        <v>13</v>
      </c>
      <c r="B21" s="20">
        <f>SUBTOTAL(109,VPOFSummary[Budget 10/11])</f>
        <v>-132275.88</v>
      </c>
      <c r="C21" s="20">
        <f>SUBTOTAL(109,VPOFSummary[Actual 10/11])</f>
        <v>-117103.85000000002</v>
      </c>
      <c r="D21" s="20">
        <f>SUBTOTAL(109,VPOFSummary[Budget 11/12])</f>
        <v>-157430.41</v>
      </c>
      <c r="E21" s="20">
        <f>SUBTOTAL(109,VPOFSummary[Actual 11/12])</f>
        <v>-123205.68999999999</v>
      </c>
      <c r="F21" s="20">
        <f>SUBTOTAL(109,VPOFSummary[Budget 12/13])</f>
        <v>-97678.733500000002</v>
      </c>
      <c r="G21" s="20">
        <f>SUBTOTAL(109,VPOFSummary[Actual 12/13])</f>
        <v>-64348.14</v>
      </c>
      <c r="H21" s="20">
        <f>SUBTOTAL(109,VPOFSummary[Budget 13/14])</f>
        <v>-100121.2</v>
      </c>
      <c r="I21" s="20">
        <f>SUBTOTAL(109,VPOFSummary[Actual 13/14])</f>
        <v>-63102.339999999989</v>
      </c>
      <c r="J21" s="20">
        <f>SUBTOTAL(109,VPOFSummary[Budget 14/15])</f>
        <v>-78930.03</v>
      </c>
      <c r="K21" s="20">
        <f>SUBTOTAL(109,VPOFSummary[Actual 14/15])</f>
        <v>-59416.929999999986</v>
      </c>
      <c r="L21" s="20">
        <f>SUBTOTAL(109,VPOFSummary[Budget 15/16])</f>
        <v>-83552.12000000001</v>
      </c>
      <c r="M21" s="20">
        <f>SUBTOTAL(109,VPOFSummary[Actual 15/16])</f>
        <v>-66945.820000000007</v>
      </c>
      <c r="N21" s="20">
        <f>SUBTOTAL(109,VPOFSummary[Budget 16/17])</f>
        <v>-86863.880759999985</v>
      </c>
      <c r="O21" s="20">
        <f>SUBTOTAL(109,VPOFSummary[Actual 16/17])</f>
        <v>-68890.060000000027</v>
      </c>
      <c r="P21" s="20">
        <f>SUBTOTAL(109,VPOFSummary[Budget 17/18])</f>
        <v>-81931.180000000008</v>
      </c>
      <c r="Q21" s="20">
        <f>SUBTOTAL(109,VPOFSummary[Actual 17/18])</f>
        <v>-70385.280000000013</v>
      </c>
      <c r="R21" s="20">
        <f>SUBTOTAL(109,VPOFSummary[Budget 18/19])</f>
        <v>5686013.5745023228</v>
      </c>
      <c r="S21" s="20">
        <f>SUBTOTAL(109,VPOFSummary[Actual 18/19])</f>
        <v>5328342.950000002</v>
      </c>
      <c r="T21" s="20">
        <f>SUBTOTAL(109,VPOFSummary[Budget 19/20])</f>
        <v>5057657.707867044</v>
      </c>
      <c r="U21" s="20"/>
    </row>
    <row r="22" spans="1:23" ht="13.5" thickBot="1">
      <c r="A22" s="8"/>
      <c r="B22" s="8"/>
      <c r="C22" s="8"/>
      <c r="D22" s="8"/>
      <c r="E22" s="8"/>
      <c r="F22" s="8"/>
      <c r="G22" s="8"/>
      <c r="H22" s="8"/>
      <c r="I22" s="8"/>
      <c r="J22" s="8"/>
      <c r="K22" s="8"/>
      <c r="L22" s="8"/>
      <c r="M22" s="8"/>
      <c r="N22" s="8"/>
      <c r="O22" s="8"/>
      <c r="W22" s="323">
        <f>(T23-R23)/R23</f>
        <v>4.0205438123267694</v>
      </c>
    </row>
    <row r="23" spans="1:23" ht="15.75" thickBot="1">
      <c r="A23" s="328" t="s">
        <v>44</v>
      </c>
      <c r="B23" s="330"/>
      <c r="C23" s="330"/>
      <c r="D23" s="331"/>
      <c r="E23" s="331"/>
      <c r="F23" s="331"/>
      <c r="G23" s="331"/>
      <c r="H23" s="331"/>
      <c r="I23" s="331"/>
      <c r="J23" s="331"/>
      <c r="K23" s="331"/>
      <c r="L23" s="331"/>
      <c r="M23" s="331"/>
      <c r="N23" s="331"/>
      <c r="O23" s="332"/>
      <c r="P23" s="329"/>
      <c r="Q23" s="327"/>
      <c r="R23" s="327">
        <f>VPOFSummary69[[#Totals],[Budget 18/19]]-VPOFSummary[[#Totals],[Budget 18/19]]</f>
        <v>139269.09572970308</v>
      </c>
      <c r="S23" s="327">
        <f>VPOFSummary69[[#Totals],[Actual 18/19]]-VPOFSummary[[#Totals],[Actual 18/19]]</f>
        <v>202570.00999999885</v>
      </c>
      <c r="T23" s="327">
        <f>VPOFSummary69[[#Totals],[Budget 19/20]]-VPOFSummary[[#Totals],[Budget 19/20]]</f>
        <v>699206.59681410529</v>
      </c>
      <c r="U23" s="311"/>
    </row>
    <row r="24" spans="1:23">
      <c r="A24" s="8"/>
      <c r="B24" s="8"/>
      <c r="C24" s="8"/>
      <c r="D24" s="8"/>
      <c r="E24" s="8"/>
      <c r="F24" s="8"/>
      <c r="G24" s="8"/>
      <c r="H24" s="8"/>
      <c r="I24" s="8"/>
      <c r="J24" s="8"/>
      <c r="K24" s="8"/>
      <c r="L24" s="8"/>
      <c r="M24" s="8"/>
      <c r="N24" s="8"/>
      <c r="O24" s="8"/>
    </row>
    <row r="25" spans="1:23">
      <c r="A25" s="8"/>
      <c r="B25" s="8"/>
      <c r="C25" s="8"/>
      <c r="D25" s="8"/>
      <c r="E25" s="8"/>
      <c r="F25" s="8"/>
      <c r="G25" s="8"/>
      <c r="H25" s="8"/>
      <c r="I25" s="8"/>
      <c r="J25" s="8"/>
      <c r="K25" s="8"/>
      <c r="L25" s="8"/>
      <c r="M25" s="8"/>
      <c r="N25" s="8"/>
      <c r="O25" s="8"/>
    </row>
    <row r="26" spans="1:23">
      <c r="A26" s="8"/>
      <c r="B26" s="8"/>
      <c r="C26" s="8"/>
      <c r="D26" s="8"/>
      <c r="E26" s="8"/>
      <c r="F26" s="8"/>
      <c r="G26" s="8"/>
      <c r="H26" s="8"/>
      <c r="I26" s="8"/>
      <c r="J26" s="8"/>
      <c r="K26" s="8"/>
      <c r="L26" s="8"/>
      <c r="M26" s="8"/>
    </row>
    <row r="27" spans="1:23">
      <c r="A27" s="8"/>
      <c r="B27" s="8"/>
      <c r="C27" s="8"/>
      <c r="D27" s="8"/>
      <c r="E27" s="8"/>
      <c r="F27" s="8"/>
      <c r="G27" s="8"/>
      <c r="H27" s="8"/>
      <c r="I27" s="8"/>
      <c r="J27" s="8"/>
      <c r="K27" s="8"/>
      <c r="R27" s="421" t="s">
        <v>720</v>
      </c>
    </row>
    <row r="28" spans="1:23">
      <c r="R28" s="424" t="s">
        <v>721</v>
      </c>
      <c r="S28" s="5">
        <f>T5-T14</f>
        <v>-75141.740839999999</v>
      </c>
    </row>
    <row r="29" spans="1:23">
      <c r="R29" s="424" t="s">
        <v>722</v>
      </c>
      <c r="S29" s="5">
        <f>T6-T15</f>
        <v>-2587.2280000000001</v>
      </c>
    </row>
    <row r="30" spans="1:23">
      <c r="R30" s="422" t="s">
        <v>723</v>
      </c>
      <c r="S30" s="5">
        <f>T7-T16</f>
        <v>-30398.957425894449</v>
      </c>
    </row>
    <row r="31" spans="1:23">
      <c r="R31" s="424" t="s">
        <v>724</v>
      </c>
      <c r="S31" s="5">
        <f>T8-T17</f>
        <v>-390522.08591999998</v>
      </c>
    </row>
    <row r="32" spans="1:23">
      <c r="R32" s="424" t="s">
        <v>725</v>
      </c>
      <c r="S32" s="5">
        <f>T9-T18-T19</f>
        <v>1379643.8190000001</v>
      </c>
    </row>
    <row r="33" spans="18:19" ht="13.5" thickBot="1">
      <c r="R33" s="423" t="s">
        <v>726</v>
      </c>
      <c r="S33" s="420">
        <f>T10-T20</f>
        <v>-181787.21</v>
      </c>
    </row>
    <row r="34" spans="18:19" ht="13.5" thickTop="1">
      <c r="R34" s="421" t="s">
        <v>727</v>
      </c>
      <c r="S34" s="5">
        <f>SUM(S28:S33)</f>
        <v>699206.59681410575</v>
      </c>
    </row>
  </sheetData>
  <customSheetViews>
    <customSheetView guid="{DC934874-AE9C-4DF4-8DA8-4394DABABB42}" showRuler="0">
      <selection activeCell="G8" sqref="G8"/>
      <pageMargins left="0" right="0" top="0" bottom="0" header="0" footer="0"/>
      <pageSetup orientation="portrait"/>
      <headerFooter alignWithMargins="0"/>
    </customSheetView>
    <customSheetView guid="{7FD89B2E-4983-4B8D-ABA2-A07F685A0C6E}" showRuler="0">
      <selection activeCell="G8" sqref="G8"/>
      <pageMargins left="0" right="0" top="0" bottom="0" header="0" footer="0"/>
      <pageSetup orientation="portrait"/>
      <headerFooter alignWithMargins="0"/>
    </customSheetView>
    <customSheetView guid="{84D8AC11-A493-4338-8044-6F4154C29695}" showRuler="0">
      <selection activeCell="H13" sqref="H13"/>
      <pageMargins left="0" right="0" top="0" bottom="0" header="0" footer="0"/>
      <pageSetup orientation="portrait"/>
      <headerFooter alignWithMargins="0"/>
    </customSheetView>
    <customSheetView guid="{BB157E55-0A2E-4D9F-A3BF-E83E5442FC27}" showPageBreaks="1" showRuler="0">
      <selection activeCell="H13" sqref="H13"/>
      <pageMargins left="0" right="0" top="0" bottom="0" header="0" footer="0"/>
      <pageSetup orientation="portrait"/>
      <headerFooter alignWithMargins="0"/>
    </customSheetView>
  </customSheetViews>
  <phoneticPr fontId="0" type="noConversion"/>
  <pageMargins left="0" right="0" top="0.98425196850393704" bottom="0.98425196850393704" header="0.51181102362204722" footer="0.51181102362204722"/>
  <pageSetup paperSize="5" orientation="landscape" r:id="rId1"/>
  <headerFooter alignWithMargins="0"/>
  <drawing r:id="rId2"/>
  <tableParts count="2">
    <tablePart r:id="rId3"/>
    <tablePart r:id="rId4"/>
  </tableParts>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0">
    <tabColor theme="1"/>
    <pageSetUpPr fitToPage="1"/>
  </sheetPr>
  <dimension ref="A1:V43"/>
  <sheetViews>
    <sheetView showGridLines="0" zoomScaleNormal="100" workbookViewId="0">
      <selection activeCell="T28" sqref="T28"/>
    </sheetView>
  </sheetViews>
  <sheetFormatPr defaultColWidth="11.42578125" defaultRowHeight="12.75"/>
  <cols>
    <col min="1" max="1" width="14.140625" customWidth="1"/>
    <col min="2" max="2" width="45.7109375" customWidth="1"/>
    <col min="3" max="13" width="18.42578125" hidden="1" customWidth="1"/>
    <col min="14" max="14" width="15.85546875" style="148" hidden="1" customWidth="1"/>
    <col min="15" max="15" width="16" hidden="1" customWidth="1"/>
    <col min="16" max="16" width="18.28515625" hidden="1" customWidth="1"/>
    <col min="17" max="17" width="19.5703125" customWidth="1"/>
    <col min="18" max="18" width="17.140625" customWidth="1"/>
    <col min="19" max="19" width="19.140625" customWidth="1"/>
    <col min="20" max="20" width="16.85546875" bestFit="1" customWidth="1"/>
    <col min="21" max="21" width="18.42578125" bestFit="1" customWidth="1"/>
  </cols>
  <sheetData>
    <row r="1" spans="1:22" s="8" customFormat="1" ht="18">
      <c r="A1" s="534" t="s">
        <v>728</v>
      </c>
      <c r="B1" s="534"/>
      <c r="C1" s="534"/>
      <c r="N1" s="138"/>
      <c r="V1"/>
    </row>
    <row r="2" spans="1:22" s="8" customFormat="1">
      <c r="A2" s="28" t="s">
        <v>729</v>
      </c>
      <c r="N2" s="138"/>
      <c r="V2"/>
    </row>
    <row r="3" spans="1:22">
      <c r="A3" s="8"/>
      <c r="B3" s="8"/>
      <c r="C3" s="8"/>
      <c r="D3" s="8"/>
      <c r="E3" s="8"/>
      <c r="F3" s="8"/>
      <c r="G3" s="8"/>
      <c r="H3" s="8"/>
      <c r="I3" s="8"/>
      <c r="J3" s="8"/>
      <c r="K3" s="8"/>
      <c r="L3" s="8"/>
      <c r="M3" s="8"/>
      <c r="N3" s="138"/>
      <c r="O3" s="8"/>
      <c r="P3" s="8"/>
      <c r="Q3" s="8"/>
    </row>
    <row r="4" spans="1:22">
      <c r="A4" s="8"/>
      <c r="B4" s="8" t="s">
        <v>47</v>
      </c>
      <c r="C4" s="8" t="s">
        <v>48</v>
      </c>
      <c r="D4" s="8" t="s">
        <v>49</v>
      </c>
      <c r="E4" s="8" t="s">
        <v>50</v>
      </c>
      <c r="F4" s="8" t="s">
        <v>51</v>
      </c>
      <c r="G4" s="8" t="s">
        <v>52</v>
      </c>
      <c r="H4" s="8" t="s">
        <v>53</v>
      </c>
      <c r="I4" s="8" t="s">
        <v>54</v>
      </c>
      <c r="J4" s="8" t="s">
        <v>55</v>
      </c>
      <c r="K4" s="8" t="s">
        <v>56</v>
      </c>
      <c r="L4" s="8" t="s">
        <v>104</v>
      </c>
      <c r="M4" s="8" t="s">
        <v>29</v>
      </c>
      <c r="N4" s="124" t="s">
        <v>30</v>
      </c>
      <c r="O4" s="8" t="s">
        <v>31</v>
      </c>
      <c r="P4" s="8" t="s">
        <v>32</v>
      </c>
      <c r="Q4" s="8" t="s">
        <v>33</v>
      </c>
      <c r="R4" s="8" t="s">
        <v>34</v>
      </c>
      <c r="S4" s="8" t="s">
        <v>6</v>
      </c>
      <c r="T4" s="8" t="s">
        <v>7</v>
      </c>
      <c r="U4" s="8" t="s">
        <v>8</v>
      </c>
      <c r="V4" s="8" t="s">
        <v>105</v>
      </c>
    </row>
    <row r="5" spans="1:22" ht="12.75" customHeight="1">
      <c r="A5" s="8"/>
      <c r="B5" s="8" t="s">
        <v>730</v>
      </c>
      <c r="C5" s="16">
        <v>0</v>
      </c>
      <c r="D5" s="16">
        <v>0</v>
      </c>
      <c r="E5" s="16">
        <v>0</v>
      </c>
      <c r="F5" s="16">
        <v>0</v>
      </c>
      <c r="G5" s="16">
        <v>0</v>
      </c>
      <c r="H5" s="16">
        <v>7244.22</v>
      </c>
      <c r="I5" s="16">
        <v>0</v>
      </c>
      <c r="J5" s="16">
        <v>0</v>
      </c>
      <c r="K5" s="16">
        <v>0</v>
      </c>
      <c r="L5" s="16">
        <v>0</v>
      </c>
      <c r="M5" s="16">
        <v>0</v>
      </c>
      <c r="N5" s="150">
        <v>0</v>
      </c>
      <c r="O5" s="16">
        <v>0</v>
      </c>
      <c r="P5" s="16"/>
      <c r="Q5" s="16"/>
      <c r="R5" s="16"/>
      <c r="S5" s="16"/>
      <c r="T5" s="16"/>
      <c r="U5" s="16"/>
      <c r="V5" s="16"/>
    </row>
    <row r="6" spans="1:22">
      <c r="A6" s="8"/>
      <c r="B6" s="8" t="s">
        <v>13</v>
      </c>
      <c r="C6" s="16">
        <f>SUBTOTAL(109,VPOFRevenues[Budget 10/11])</f>
        <v>0</v>
      </c>
      <c r="D6" s="16">
        <f>SUBTOTAL(109,VPOFRevenues[Actual 10/11])</f>
        <v>0</v>
      </c>
      <c r="E6" s="16">
        <f>SUBTOTAL(109,VPOFRevenues[Budget 11/12])</f>
        <v>0</v>
      </c>
      <c r="F6" s="16">
        <f>SUBTOTAL(109,VPOFRevenues[Actual 11/12])</f>
        <v>0</v>
      </c>
      <c r="G6" s="16">
        <f>SUBTOTAL(109,VPOFRevenues[Budget 12/13])</f>
        <v>0</v>
      </c>
      <c r="H6" s="16">
        <f>SUBTOTAL(109,VPOFRevenues[Actual 12/13])</f>
        <v>7244.22</v>
      </c>
      <c r="I6" s="16">
        <f>SUBTOTAL(109,VPOFRevenues[Budget 13/14])</f>
        <v>0</v>
      </c>
      <c r="J6" s="16">
        <f>SUBTOTAL(109,VPOFRevenues[Actual 13/14])</f>
        <v>0</v>
      </c>
      <c r="K6" s="16">
        <f>SUBTOTAL(109,VPOFRevenues[Budget 14/15])</f>
        <v>0</v>
      </c>
      <c r="L6" s="16">
        <f>SUBTOTAL(109,VPOFRevenues[Actual 14/15])</f>
        <v>0</v>
      </c>
      <c r="M6" s="16">
        <f>SUBTOTAL(109,VPOFRevenues[Budget 15/16])</f>
        <v>0</v>
      </c>
      <c r="N6" s="140">
        <f>SUBTOTAL(109,VPOFRevenues[Actual 15/16])</f>
        <v>0</v>
      </c>
      <c r="O6" s="16">
        <f>SUBTOTAL(109,VPOFRevenues[Budget 16/17])</f>
        <v>0</v>
      </c>
      <c r="P6" s="8"/>
      <c r="Q6" s="8"/>
    </row>
    <row r="7" spans="1:22">
      <c r="B7" s="8"/>
      <c r="C7" s="8"/>
      <c r="D7" s="8"/>
      <c r="E7" s="8"/>
      <c r="F7" s="8"/>
      <c r="G7" s="8"/>
      <c r="H7" s="8"/>
      <c r="I7" s="8"/>
      <c r="J7" s="8"/>
      <c r="K7" s="8"/>
      <c r="L7" s="8"/>
      <c r="M7" s="8"/>
      <c r="N7" s="138"/>
      <c r="O7" s="8"/>
      <c r="P7" s="8"/>
      <c r="Q7" s="8"/>
    </row>
    <row r="8" spans="1:22">
      <c r="A8" s="48" t="s">
        <v>107</v>
      </c>
      <c r="B8" s="8" t="s">
        <v>61</v>
      </c>
      <c r="C8" s="8" t="s">
        <v>48</v>
      </c>
      <c r="D8" s="8" t="s">
        <v>49</v>
      </c>
      <c r="E8" s="8" t="s">
        <v>50</v>
      </c>
      <c r="F8" s="8" t="s">
        <v>51</v>
      </c>
      <c r="G8" s="8" t="s">
        <v>52</v>
      </c>
      <c r="H8" s="8" t="s">
        <v>53</v>
      </c>
      <c r="I8" s="8" t="s">
        <v>54</v>
      </c>
      <c r="J8" s="8" t="s">
        <v>55</v>
      </c>
      <c r="K8" s="8" t="s">
        <v>56</v>
      </c>
      <c r="L8" s="8" t="s">
        <v>104</v>
      </c>
      <c r="M8" s="8" t="s">
        <v>29</v>
      </c>
      <c r="N8" s="124" t="s">
        <v>30</v>
      </c>
      <c r="O8" s="8" t="s">
        <v>31</v>
      </c>
      <c r="P8" s="8" t="s">
        <v>32</v>
      </c>
      <c r="Q8" s="8" t="s">
        <v>33</v>
      </c>
      <c r="R8" s="8" t="s">
        <v>34</v>
      </c>
      <c r="S8" s="8" t="s">
        <v>6</v>
      </c>
      <c r="T8" s="8" t="s">
        <v>7</v>
      </c>
      <c r="U8" s="8" t="s">
        <v>8</v>
      </c>
      <c r="V8" s="8" t="s">
        <v>105</v>
      </c>
    </row>
    <row r="9" spans="1:22">
      <c r="A9" s="48" t="s">
        <v>731</v>
      </c>
      <c r="B9" s="8" t="s">
        <v>732</v>
      </c>
      <c r="C9" s="44">
        <v>55482</v>
      </c>
      <c r="D9" s="44">
        <v>61372.03</v>
      </c>
      <c r="E9" s="44">
        <v>70000</v>
      </c>
      <c r="F9" s="44">
        <v>62701</v>
      </c>
      <c r="G9" s="44">
        <v>27000</v>
      </c>
      <c r="H9" s="44">
        <v>0</v>
      </c>
      <c r="I9" s="44">
        <v>27000</v>
      </c>
      <c r="J9" s="44">
        <v>10161.290000000001</v>
      </c>
      <c r="K9" s="44">
        <v>10000</v>
      </c>
      <c r="L9" s="44">
        <v>6005.95</v>
      </c>
      <c r="M9" s="44">
        <v>9000</v>
      </c>
      <c r="N9" s="151">
        <v>621.5</v>
      </c>
      <c r="O9" s="44">
        <v>9000</v>
      </c>
      <c r="P9" s="44">
        <v>1564.61</v>
      </c>
      <c r="Q9" s="44">
        <v>9000</v>
      </c>
      <c r="R9" s="44">
        <v>2374</v>
      </c>
      <c r="S9" s="44">
        <v>5000</v>
      </c>
      <c r="T9" s="44">
        <v>500</v>
      </c>
      <c r="U9" s="44">
        <v>5000</v>
      </c>
      <c r="V9" s="44"/>
    </row>
    <row r="10" spans="1:22">
      <c r="A10" s="48" t="s">
        <v>733</v>
      </c>
      <c r="B10" s="8" t="s">
        <v>63</v>
      </c>
      <c r="C10" s="44">
        <v>34338.879999999997</v>
      </c>
      <c r="D10" s="44">
        <v>38907.72</v>
      </c>
      <c r="E10" s="44">
        <f>0.85*46794.6</f>
        <v>39775.409999999996</v>
      </c>
      <c r="F10" s="44">
        <v>39759.74</v>
      </c>
      <c r="G10" s="44">
        <f>F10*1.025</f>
        <v>40753.733499999995</v>
      </c>
      <c r="H10" s="44">
        <v>48294.62</v>
      </c>
      <c r="I10" s="44">
        <v>47116.2</v>
      </c>
      <c r="J10" s="44">
        <v>43097.82</v>
      </c>
      <c r="K10" s="44">
        <f>4096.97 *12-P9</f>
        <v>47599.03</v>
      </c>
      <c r="L10" s="44">
        <v>41166.5</v>
      </c>
      <c r="M10" s="86">
        <v>46532.4</v>
      </c>
      <c r="N10" s="151">
        <v>46471.98</v>
      </c>
      <c r="O10" s="86">
        <f>VPOFExpenses[[#This Row],[Budget 15/16]]*1.011</f>
        <v>47044.256399999998</v>
      </c>
      <c r="P10" s="44">
        <v>47044.26</v>
      </c>
      <c r="Q10" s="44">
        <v>47702.87</v>
      </c>
      <c r="R10" s="44">
        <v>47689.97</v>
      </c>
      <c r="S10" s="44">
        <v>48227.6</v>
      </c>
      <c r="T10" s="44">
        <v>41010.54</v>
      </c>
      <c r="U10" s="44">
        <f>48227.6*1.023</f>
        <v>49336.834799999997</v>
      </c>
      <c r="V10" s="44"/>
    </row>
    <row r="11" spans="1:22">
      <c r="A11" s="48"/>
      <c r="B11" s="8" t="s">
        <v>64</v>
      </c>
      <c r="C11" s="44"/>
      <c r="D11" s="44"/>
      <c r="E11" s="44"/>
      <c r="F11" s="44"/>
      <c r="G11" s="44"/>
      <c r="H11" s="44"/>
      <c r="I11" s="44"/>
      <c r="J11" s="44"/>
      <c r="K11" s="44"/>
      <c r="L11" s="44"/>
      <c r="M11" s="44">
        <v>4466.76</v>
      </c>
      <c r="N11" s="151"/>
      <c r="O11" s="44">
        <f>VPOFExpenses[[#This Row],[Budget 15/16]]*1.011</f>
        <v>4515.8943599999993</v>
      </c>
      <c r="P11" s="44">
        <v>4515.8900000000003</v>
      </c>
      <c r="Q11" s="44">
        <v>4579.1099999999997</v>
      </c>
      <c r="R11" s="44">
        <v>4592.01</v>
      </c>
      <c r="S11" s="44">
        <v>4629.4799999999996</v>
      </c>
      <c r="T11" s="44"/>
      <c r="U11" s="44">
        <f>4629.48*1.023</f>
        <v>4735.9580399999995</v>
      </c>
      <c r="V11" s="44"/>
    </row>
    <row r="12" spans="1:22">
      <c r="A12" s="48"/>
      <c r="B12" s="8" t="s">
        <v>734</v>
      </c>
      <c r="C12" s="44"/>
      <c r="D12" s="44"/>
      <c r="E12" s="44"/>
      <c r="F12" s="44"/>
      <c r="G12" s="44"/>
      <c r="H12" s="44"/>
      <c r="I12" s="44"/>
      <c r="J12" s="44"/>
      <c r="K12" s="44"/>
      <c r="L12" s="44"/>
      <c r="M12" s="44"/>
      <c r="N12" s="151"/>
      <c r="O12" s="44"/>
      <c r="P12" s="44">
        <v>67.8</v>
      </c>
      <c r="Q12" s="44"/>
      <c r="R12" s="44"/>
      <c r="S12" s="44"/>
      <c r="T12" s="44"/>
      <c r="U12" s="44"/>
      <c r="V12" s="44"/>
    </row>
    <row r="13" spans="1:22">
      <c r="A13" s="48" t="s">
        <v>735</v>
      </c>
      <c r="B13" s="8" t="s">
        <v>113</v>
      </c>
      <c r="C13" s="44">
        <v>5000</v>
      </c>
      <c r="D13" s="44">
        <v>2656.3</v>
      </c>
      <c r="E13" s="44">
        <v>0</v>
      </c>
      <c r="F13" s="44">
        <v>65</v>
      </c>
      <c r="G13" s="44">
        <v>0</v>
      </c>
      <c r="H13" s="44">
        <v>0</v>
      </c>
      <c r="I13" s="44">
        <v>0</v>
      </c>
      <c r="J13" s="44">
        <v>0</v>
      </c>
      <c r="K13" s="44">
        <v>0</v>
      </c>
      <c r="L13" s="44">
        <v>0</v>
      </c>
      <c r="M13" s="44">
        <v>0</v>
      </c>
      <c r="N13" s="151">
        <v>0</v>
      </c>
      <c r="O13" s="44">
        <v>0</v>
      </c>
      <c r="P13" s="44"/>
      <c r="Q13" s="44"/>
      <c r="R13" s="44"/>
      <c r="S13" s="44"/>
      <c r="T13" s="44"/>
      <c r="U13" s="44"/>
      <c r="V13" s="44"/>
    </row>
    <row r="14" spans="1:22">
      <c r="A14" s="48" t="s">
        <v>735</v>
      </c>
      <c r="B14" s="8" t="s">
        <v>116</v>
      </c>
      <c r="C14" s="44">
        <v>0</v>
      </c>
      <c r="D14" s="44">
        <v>0</v>
      </c>
      <c r="E14" s="44">
        <v>0</v>
      </c>
      <c r="F14" s="44">
        <v>0</v>
      </c>
      <c r="G14" s="44">
        <v>0</v>
      </c>
      <c r="H14" s="44">
        <v>0</v>
      </c>
      <c r="I14" s="44">
        <v>0</v>
      </c>
      <c r="J14" s="44">
        <v>0</v>
      </c>
      <c r="K14" s="44">
        <v>0</v>
      </c>
      <c r="L14" s="44">
        <v>323.02</v>
      </c>
      <c r="M14" s="44">
        <v>0</v>
      </c>
      <c r="N14" s="151">
        <v>0</v>
      </c>
      <c r="O14" s="44">
        <v>0</v>
      </c>
      <c r="P14" s="44"/>
      <c r="Q14" s="44"/>
      <c r="R14" s="44">
        <v>588</v>
      </c>
      <c r="S14" s="44"/>
      <c r="T14" s="44"/>
      <c r="U14" s="44"/>
      <c r="V14" s="44"/>
    </row>
    <row r="15" spans="1:22">
      <c r="A15" s="48" t="s">
        <v>736</v>
      </c>
      <c r="B15" s="8" t="s">
        <v>70</v>
      </c>
      <c r="C15" s="44">
        <v>650</v>
      </c>
      <c r="D15" s="44">
        <v>303.35000000000002</v>
      </c>
      <c r="E15" s="44">
        <v>400</v>
      </c>
      <c r="F15" s="44">
        <v>307.92</v>
      </c>
      <c r="G15" s="44">
        <v>310</v>
      </c>
      <c r="H15" s="44">
        <v>305.44</v>
      </c>
      <c r="I15" s="44">
        <v>310</v>
      </c>
      <c r="J15" s="44">
        <v>298.38</v>
      </c>
      <c r="K15" s="44">
        <v>310</v>
      </c>
      <c r="L15" s="44">
        <v>299.5</v>
      </c>
      <c r="M15" s="44">
        <v>275</v>
      </c>
      <c r="N15" s="151">
        <v>275.31</v>
      </c>
      <c r="O15" s="44">
        <v>275.99</v>
      </c>
      <c r="P15" s="44">
        <v>225.87</v>
      </c>
      <c r="Q15" s="44">
        <v>300</v>
      </c>
      <c r="R15" s="183">
        <v>272.25</v>
      </c>
      <c r="S15" s="44">
        <v>300</v>
      </c>
      <c r="T15" s="44">
        <v>334.46</v>
      </c>
      <c r="U15" s="44">
        <v>300</v>
      </c>
      <c r="V15" s="44"/>
    </row>
    <row r="16" spans="1:22">
      <c r="A16" s="48" t="s">
        <v>737</v>
      </c>
      <c r="B16" s="8" t="s">
        <v>72</v>
      </c>
      <c r="C16" s="44">
        <v>1150</v>
      </c>
      <c r="D16" s="44">
        <v>973.33</v>
      </c>
      <c r="E16" s="44">
        <v>1200</v>
      </c>
      <c r="F16" s="44">
        <v>1319.45</v>
      </c>
      <c r="G16" s="44">
        <v>1350</v>
      </c>
      <c r="H16" s="44">
        <v>1410.32</v>
      </c>
      <c r="I16" s="44">
        <v>840</v>
      </c>
      <c r="J16" s="44">
        <v>791.76</v>
      </c>
      <c r="K16" s="44">
        <v>930</v>
      </c>
      <c r="L16" s="44">
        <v>521.71</v>
      </c>
      <c r="M16" s="44">
        <f>67.8*12</f>
        <v>813.59999999999991</v>
      </c>
      <c r="N16" s="151">
        <v>813.6</v>
      </c>
      <c r="O16" s="44">
        <v>813.6</v>
      </c>
      <c r="P16" s="44">
        <v>745.8</v>
      </c>
      <c r="Q16" s="44">
        <v>813.6</v>
      </c>
      <c r="R16" s="44">
        <v>813.6</v>
      </c>
      <c r="S16" s="44">
        <v>876</v>
      </c>
      <c r="T16" s="44">
        <v>882.6</v>
      </c>
      <c r="U16" s="15">
        <f>876*1.023</f>
        <v>896.14799999999991</v>
      </c>
      <c r="V16" s="44"/>
    </row>
    <row r="17" spans="1:22">
      <c r="A17" s="48" t="s">
        <v>738</v>
      </c>
      <c r="B17" s="8" t="s">
        <v>74</v>
      </c>
      <c r="C17" s="44">
        <v>5</v>
      </c>
      <c r="D17" s="44">
        <v>0</v>
      </c>
      <c r="E17" s="44">
        <v>5</v>
      </c>
      <c r="F17" s="44">
        <v>0</v>
      </c>
      <c r="G17" s="44">
        <v>5</v>
      </c>
      <c r="H17" s="44">
        <v>0</v>
      </c>
      <c r="I17" s="44">
        <v>5</v>
      </c>
      <c r="J17" s="44">
        <v>0</v>
      </c>
      <c r="K17" s="44">
        <v>5</v>
      </c>
      <c r="L17" s="44">
        <v>0</v>
      </c>
      <c r="M17" s="44">
        <v>5</v>
      </c>
      <c r="N17" s="151">
        <v>0</v>
      </c>
      <c r="O17" s="44">
        <v>0</v>
      </c>
      <c r="P17" s="44"/>
      <c r="Q17" s="44"/>
      <c r="R17" s="44"/>
      <c r="S17" s="44"/>
      <c r="T17" s="44"/>
      <c r="U17" s="44"/>
      <c r="V17" s="44"/>
    </row>
    <row r="18" spans="1:22">
      <c r="A18" s="48" t="s">
        <v>739</v>
      </c>
      <c r="B18" s="8" t="s">
        <v>77</v>
      </c>
      <c r="C18" s="44">
        <v>100</v>
      </c>
      <c r="D18" s="44">
        <v>241.7</v>
      </c>
      <c r="E18" s="44">
        <v>100</v>
      </c>
      <c r="F18" s="44">
        <v>46.8</v>
      </c>
      <c r="G18" s="44">
        <v>60</v>
      </c>
      <c r="H18" s="44">
        <v>114.02</v>
      </c>
      <c r="I18" s="44">
        <v>200</v>
      </c>
      <c r="J18" s="44">
        <v>151.65</v>
      </c>
      <c r="K18" s="44">
        <v>150</v>
      </c>
      <c r="L18" s="44">
        <v>524.34</v>
      </c>
      <c r="M18" s="44">
        <v>150</v>
      </c>
      <c r="N18" s="151">
        <v>101.76</v>
      </c>
      <c r="O18" s="44">
        <v>150</v>
      </c>
      <c r="P18" s="44"/>
      <c r="Q18" s="44">
        <v>150</v>
      </c>
      <c r="R18" s="44">
        <v>60.23</v>
      </c>
      <c r="S18" s="44">
        <v>75</v>
      </c>
      <c r="T18" s="44">
        <v>188.02</v>
      </c>
      <c r="U18" s="44">
        <v>50</v>
      </c>
      <c r="V18" s="44"/>
    </row>
    <row r="19" spans="1:22">
      <c r="A19" s="48" t="s">
        <v>740</v>
      </c>
      <c r="B19" s="8" t="s">
        <v>197</v>
      </c>
      <c r="C19" s="44">
        <v>50</v>
      </c>
      <c r="D19" s="44">
        <v>0</v>
      </c>
      <c r="E19" s="44">
        <v>0</v>
      </c>
      <c r="F19" s="44">
        <v>0</v>
      </c>
      <c r="G19" s="44">
        <v>0</v>
      </c>
      <c r="H19" s="44">
        <v>0</v>
      </c>
      <c r="I19" s="44">
        <v>0</v>
      </c>
      <c r="J19" s="44">
        <v>0</v>
      </c>
      <c r="K19" s="44">
        <v>0</v>
      </c>
      <c r="L19" s="44"/>
      <c r="M19" s="44">
        <v>0</v>
      </c>
      <c r="N19" s="151">
        <v>0</v>
      </c>
      <c r="O19" s="44">
        <v>0</v>
      </c>
      <c r="P19" s="44"/>
      <c r="Q19" s="44"/>
      <c r="R19" s="44"/>
      <c r="S19" s="44"/>
      <c r="T19" s="44"/>
      <c r="U19" s="44"/>
      <c r="V19" s="44"/>
    </row>
    <row r="20" spans="1:22">
      <c r="A20" s="48" t="s">
        <v>741</v>
      </c>
      <c r="B20" s="8" t="s">
        <v>138</v>
      </c>
      <c r="C20" s="44">
        <v>50</v>
      </c>
      <c r="D20" s="44">
        <v>426.01</v>
      </c>
      <c r="E20" s="44">
        <v>250</v>
      </c>
      <c r="F20" s="44">
        <v>69.150000000000006</v>
      </c>
      <c r="G20" s="44">
        <v>100</v>
      </c>
      <c r="H20" s="44">
        <v>10.61</v>
      </c>
      <c r="I20" s="44">
        <v>50</v>
      </c>
      <c r="J20" s="44">
        <v>13.03</v>
      </c>
      <c r="K20" s="44">
        <v>50</v>
      </c>
      <c r="L20" s="44">
        <v>37.5</v>
      </c>
      <c r="M20" s="44">
        <v>40</v>
      </c>
      <c r="N20" s="151">
        <v>4.04</v>
      </c>
      <c r="O20" s="44">
        <v>40</v>
      </c>
      <c r="P20" s="44">
        <v>30.86</v>
      </c>
      <c r="Q20" s="44">
        <v>40</v>
      </c>
      <c r="R20" s="44">
        <v>26.47</v>
      </c>
      <c r="S20" s="44">
        <v>30</v>
      </c>
      <c r="T20" s="44">
        <v>0</v>
      </c>
      <c r="U20" s="44">
        <v>30</v>
      </c>
      <c r="V20" s="44"/>
    </row>
    <row r="21" spans="1:22">
      <c r="A21" s="48" t="s">
        <v>742</v>
      </c>
      <c r="B21" s="8" t="s">
        <v>81</v>
      </c>
      <c r="C21" s="44">
        <v>200</v>
      </c>
      <c r="D21" s="44">
        <v>147.85</v>
      </c>
      <c r="E21" s="44">
        <v>500</v>
      </c>
      <c r="F21" s="44">
        <v>586.22</v>
      </c>
      <c r="G21" s="44">
        <v>600</v>
      </c>
      <c r="H21" s="44">
        <v>1093.71</v>
      </c>
      <c r="I21" s="44">
        <v>500</v>
      </c>
      <c r="J21" s="44">
        <v>418.56</v>
      </c>
      <c r="K21" s="44">
        <v>500</v>
      </c>
      <c r="L21" s="44">
        <v>742.33</v>
      </c>
      <c r="M21" s="44">
        <v>500</v>
      </c>
      <c r="N21" s="151">
        <v>192.27</v>
      </c>
      <c r="O21" s="44">
        <v>500</v>
      </c>
      <c r="P21" s="44">
        <v>65.900000000000006</v>
      </c>
      <c r="Q21" s="44">
        <v>600</v>
      </c>
      <c r="R21" s="44">
        <v>393.36</v>
      </c>
      <c r="S21" s="44">
        <v>400</v>
      </c>
      <c r="T21" s="44">
        <v>207.31</v>
      </c>
      <c r="U21" s="44">
        <v>400</v>
      </c>
      <c r="V21" s="44"/>
    </row>
    <row r="22" spans="1:22">
      <c r="A22" s="48" t="s">
        <v>743</v>
      </c>
      <c r="B22" s="456" t="s">
        <v>83</v>
      </c>
      <c r="C22" s="44">
        <v>1200</v>
      </c>
      <c r="D22" s="47">
        <v>1249.95</v>
      </c>
      <c r="E22" s="44">
        <v>1850</v>
      </c>
      <c r="F22" s="44">
        <v>769.78</v>
      </c>
      <c r="G22" s="44">
        <v>1700</v>
      </c>
      <c r="H22" s="47">
        <v>1670.3</v>
      </c>
      <c r="I22" s="44">
        <v>1200</v>
      </c>
      <c r="J22" s="44">
        <v>218.61</v>
      </c>
      <c r="K22" s="44">
        <v>750</v>
      </c>
      <c r="L22" s="44">
        <v>1851.26</v>
      </c>
      <c r="M22" s="45">
        <v>750</v>
      </c>
      <c r="N22" s="151">
        <v>117.9</v>
      </c>
      <c r="O22" s="44">
        <v>1000</v>
      </c>
      <c r="P22" s="44">
        <v>454.03</v>
      </c>
      <c r="Q22" s="44">
        <v>1200</v>
      </c>
      <c r="R22" s="44">
        <v>1576.24</v>
      </c>
      <c r="S22" s="44">
        <v>1500</v>
      </c>
      <c r="T22" s="44">
        <v>1675.08</v>
      </c>
      <c r="U22" s="44">
        <v>1800</v>
      </c>
      <c r="V22" s="44"/>
    </row>
    <row r="23" spans="1:22">
      <c r="A23" s="48" t="s">
        <v>744</v>
      </c>
      <c r="B23" s="456" t="s">
        <v>710</v>
      </c>
      <c r="C23" s="56">
        <v>100</v>
      </c>
      <c r="D23" s="44">
        <v>0</v>
      </c>
      <c r="E23" s="57">
        <v>0</v>
      </c>
      <c r="F23" s="54">
        <v>613.32000000000005</v>
      </c>
      <c r="G23" s="57">
        <v>0</v>
      </c>
      <c r="H23" s="47">
        <v>0</v>
      </c>
      <c r="I23" s="57">
        <v>800</v>
      </c>
      <c r="J23" s="54">
        <v>292.5</v>
      </c>
      <c r="K23" s="57">
        <v>800</v>
      </c>
      <c r="L23" s="53">
        <v>95.6</v>
      </c>
      <c r="M23" s="45">
        <v>800</v>
      </c>
      <c r="N23" s="151">
        <v>3647.8</v>
      </c>
      <c r="O23" s="44">
        <v>5000</v>
      </c>
      <c r="P23" s="44">
        <v>3162.84</v>
      </c>
      <c r="Q23" s="44">
        <v>5000</v>
      </c>
      <c r="R23" s="44">
        <v>2979</v>
      </c>
      <c r="S23" s="44">
        <v>4000</v>
      </c>
      <c r="T23" s="44">
        <v>563.88</v>
      </c>
      <c r="U23" s="44">
        <v>3500</v>
      </c>
      <c r="V23" s="44"/>
    </row>
    <row r="24" spans="1:22">
      <c r="A24" s="48" t="s">
        <v>745</v>
      </c>
      <c r="B24" s="8" t="s">
        <v>87</v>
      </c>
      <c r="C24" s="44">
        <v>0</v>
      </c>
      <c r="D24" s="44">
        <v>0</v>
      </c>
      <c r="E24" s="44">
        <v>0</v>
      </c>
      <c r="F24" s="44">
        <v>0</v>
      </c>
      <c r="G24" s="44">
        <v>1000</v>
      </c>
      <c r="H24" s="44">
        <v>0</v>
      </c>
      <c r="I24" s="44">
        <v>8000</v>
      </c>
      <c r="J24" s="44">
        <v>337.03</v>
      </c>
      <c r="K24" s="44">
        <f>836</f>
        <v>836</v>
      </c>
      <c r="L24" s="44">
        <v>1080.8399999999999</v>
      </c>
      <c r="M24" s="44">
        <f>836</f>
        <v>836</v>
      </c>
      <c r="N24" s="151">
        <v>1274.6400000000001</v>
      </c>
      <c r="O24" s="44">
        <v>1000</v>
      </c>
      <c r="P24" s="44">
        <v>937.86</v>
      </c>
      <c r="Q24" s="44">
        <v>1000</v>
      </c>
      <c r="R24" s="44">
        <v>193.8</v>
      </c>
      <c r="S24" s="44">
        <v>500</v>
      </c>
      <c r="T24" s="44">
        <v>0</v>
      </c>
      <c r="U24" s="44"/>
      <c r="V24" s="44"/>
    </row>
    <row r="25" spans="1:22">
      <c r="A25" s="48" t="s">
        <v>746</v>
      </c>
      <c r="B25" s="8" t="s">
        <v>89</v>
      </c>
      <c r="C25" s="44">
        <v>1250</v>
      </c>
      <c r="D25" s="44">
        <v>163.91</v>
      </c>
      <c r="E25" s="44">
        <v>20000</v>
      </c>
      <c r="F25" s="44">
        <v>5022.05</v>
      </c>
      <c r="G25" s="44">
        <v>5500</v>
      </c>
      <c r="H25" s="44">
        <v>5090.6099999999997</v>
      </c>
      <c r="I25" s="44">
        <v>0</v>
      </c>
      <c r="J25" s="44">
        <v>389.2</v>
      </c>
      <c r="K25" s="44">
        <v>7000</v>
      </c>
      <c r="L25" s="44">
        <v>1852.24</v>
      </c>
      <c r="M25" s="44">
        <v>5500</v>
      </c>
      <c r="N25" s="151">
        <v>5644.51</v>
      </c>
      <c r="O25" s="44">
        <v>4500</v>
      </c>
      <c r="P25" s="44"/>
      <c r="Q25" s="44">
        <v>4000</v>
      </c>
      <c r="R25" s="44">
        <v>3127</v>
      </c>
      <c r="S25" s="44">
        <v>3500</v>
      </c>
      <c r="T25" s="490">
        <v>11525.76</v>
      </c>
      <c r="U25" s="44">
        <v>3500</v>
      </c>
      <c r="V25" s="44"/>
    </row>
    <row r="26" spans="1:22">
      <c r="A26" s="48" t="s">
        <v>746</v>
      </c>
      <c r="B26" s="8" t="s">
        <v>96</v>
      </c>
      <c r="C26" s="44">
        <v>250</v>
      </c>
      <c r="D26" s="44">
        <v>204.63</v>
      </c>
      <c r="E26" s="44">
        <v>250</v>
      </c>
      <c r="F26" s="44">
        <v>180.9</v>
      </c>
      <c r="G26" s="44">
        <v>200</v>
      </c>
      <c r="H26" s="44">
        <v>115.38</v>
      </c>
      <c r="I26" s="44">
        <v>200</v>
      </c>
      <c r="J26" s="44">
        <v>180.99</v>
      </c>
      <c r="K26" s="44">
        <v>200</v>
      </c>
      <c r="L26" s="44">
        <v>141.53</v>
      </c>
      <c r="M26" s="44">
        <v>200</v>
      </c>
      <c r="N26" s="151">
        <v>112.76</v>
      </c>
      <c r="O26" s="44">
        <v>200</v>
      </c>
      <c r="P26" s="44"/>
      <c r="Q26" s="44">
        <v>150</v>
      </c>
      <c r="R26" s="491"/>
      <c r="S26" s="44">
        <v>50</v>
      </c>
      <c r="T26" s="44">
        <v>30.74</v>
      </c>
      <c r="U26" s="44">
        <v>50</v>
      </c>
      <c r="V26" s="44"/>
    </row>
    <row r="27" spans="1:22">
      <c r="A27" s="48" t="s">
        <v>746</v>
      </c>
      <c r="B27" s="8" t="s">
        <v>747</v>
      </c>
      <c r="C27" s="44">
        <v>2150</v>
      </c>
      <c r="D27" s="44">
        <v>1703.36</v>
      </c>
      <c r="E27" s="44">
        <v>2100</v>
      </c>
      <c r="F27" s="44">
        <v>1703.36</v>
      </c>
      <c r="G27" s="44">
        <v>2100</v>
      </c>
      <c r="H27" s="44">
        <v>1703.36</v>
      </c>
      <c r="I27" s="44">
        <v>1900</v>
      </c>
      <c r="J27" s="44">
        <v>1900.1</v>
      </c>
      <c r="K27" s="44">
        <v>1800</v>
      </c>
      <c r="L27" s="44">
        <v>1703.36</v>
      </c>
      <c r="M27" s="44">
        <v>1703.36</v>
      </c>
      <c r="N27" s="151">
        <v>1703.36</v>
      </c>
      <c r="O27" s="44">
        <v>1818.54</v>
      </c>
      <c r="P27" s="44">
        <v>1851.41</v>
      </c>
      <c r="Q27" s="44">
        <v>2000</v>
      </c>
      <c r="R27" s="44">
        <v>1788.53</v>
      </c>
      <c r="S27" s="44">
        <v>2000</v>
      </c>
      <c r="T27" s="44">
        <v>1788.54</v>
      </c>
      <c r="U27" s="44">
        <v>0</v>
      </c>
      <c r="V27" s="44"/>
    </row>
    <row r="28" spans="1:22">
      <c r="A28" s="48" t="s">
        <v>746</v>
      </c>
      <c r="B28" s="8" t="s">
        <v>748</v>
      </c>
      <c r="C28" s="44">
        <v>300</v>
      </c>
      <c r="D28" s="44">
        <v>1000</v>
      </c>
      <c r="E28" s="44">
        <v>1000</v>
      </c>
      <c r="F28" s="44">
        <v>0</v>
      </c>
      <c r="G28" s="44">
        <v>1000</v>
      </c>
      <c r="H28" s="44">
        <v>1000</v>
      </c>
      <c r="I28" s="44">
        <v>1000</v>
      </c>
      <c r="J28" s="44">
        <v>0</v>
      </c>
      <c r="K28" s="44">
        <v>1000</v>
      </c>
      <c r="L28" s="44">
        <v>1085.5999999999999</v>
      </c>
      <c r="M28" s="44">
        <v>1000</v>
      </c>
      <c r="N28" s="151">
        <v>1085.5999999999999</v>
      </c>
      <c r="O28" s="44">
        <v>1085.5999999999999</v>
      </c>
      <c r="P28" s="44"/>
      <c r="Q28" s="44">
        <v>1085.5999999999999</v>
      </c>
      <c r="R28" s="44">
        <v>1085.5999999999999</v>
      </c>
      <c r="S28" s="44">
        <v>1085.5999999999999</v>
      </c>
      <c r="T28" s="490">
        <v>5100</v>
      </c>
      <c r="U28" s="44">
        <f>1085.6/2</f>
        <v>542.79999999999995</v>
      </c>
      <c r="V28" s="44"/>
    </row>
    <row r="29" spans="1:22">
      <c r="A29" s="49" t="s">
        <v>202</v>
      </c>
      <c r="B29" s="8" t="s">
        <v>749</v>
      </c>
      <c r="C29" s="223">
        <v>30000</v>
      </c>
      <c r="D29" s="223">
        <v>7753.71</v>
      </c>
      <c r="E29" s="223">
        <v>20000</v>
      </c>
      <c r="F29" s="223">
        <v>10061</v>
      </c>
      <c r="G29" s="223">
        <v>16000</v>
      </c>
      <c r="H29" s="223">
        <v>10783.99</v>
      </c>
      <c r="I29" s="223">
        <v>11000</v>
      </c>
      <c r="J29" s="223">
        <v>4851.42</v>
      </c>
      <c r="K29" s="223">
        <v>7000</v>
      </c>
      <c r="L29" s="223">
        <v>1985.65</v>
      </c>
      <c r="M29" s="223">
        <v>6000</v>
      </c>
      <c r="N29" s="312">
        <v>1663.48</v>
      </c>
      <c r="O29" s="223">
        <v>5000</v>
      </c>
      <c r="P29" s="223">
        <v>5000</v>
      </c>
      <c r="Q29" s="223"/>
      <c r="R29" s="223" t="s">
        <v>43</v>
      </c>
      <c r="S29" s="223"/>
      <c r="T29" s="223"/>
      <c r="U29" s="223">
        <v>5000</v>
      </c>
      <c r="V29" s="15"/>
    </row>
    <row r="30" spans="1:22">
      <c r="A30" s="8"/>
      <c r="B30" s="8" t="s">
        <v>13</v>
      </c>
      <c r="C30" s="16">
        <f>SUBTOTAL(109,VPOFExpenses[Budget 10/11])</f>
        <v>132275.88</v>
      </c>
      <c r="D30" s="16">
        <f>SUBTOTAL(109,VPOFExpenses[Actual 10/11])</f>
        <v>117103.85000000002</v>
      </c>
      <c r="E30" s="16">
        <f>SUBTOTAL(109,VPOFExpenses[Budget 11/12])</f>
        <v>157430.41</v>
      </c>
      <c r="F30" s="16">
        <f>SUBTOTAL(109,VPOFExpenses[Actual 11/12])</f>
        <v>123205.68999999999</v>
      </c>
      <c r="G30" s="16">
        <f>SUBTOTAL(109,VPOFExpenses[Budget 12/13])</f>
        <v>97678.733500000002</v>
      </c>
      <c r="H30" s="16">
        <f>SUBTOTAL(109,VPOFExpenses[Actual 12/13])</f>
        <v>71592.36</v>
      </c>
      <c r="I30" s="16">
        <f>SUBTOTAL(109,VPOFExpenses[Budget 13/14])</f>
        <v>100121.2</v>
      </c>
      <c r="J30" s="16">
        <f>SUBTOTAL(109,VPOFExpenses[Actual 13/14])</f>
        <v>63102.339999999989</v>
      </c>
      <c r="K30" s="16">
        <f>SUBTOTAL(109,VPOFExpenses[Budget 14/15])</f>
        <v>78930.03</v>
      </c>
      <c r="L30" s="16">
        <f>SUBTOTAL(109,VPOFExpenses[Actual 14/15])</f>
        <v>59416.929999999986</v>
      </c>
      <c r="M30" s="16">
        <f>SUBTOTAL(109,VPOFExpenses[Budget 15/16])</f>
        <v>78572.12000000001</v>
      </c>
      <c r="N30" s="140">
        <f>SUBTOTAL(109,VPOFExpenses[Actual 15/16])</f>
        <v>63730.510000000009</v>
      </c>
      <c r="O30" s="16">
        <f>SUBTOTAL(109,VPOFExpenses[Budget 16/17])</f>
        <v>81943.880759999985</v>
      </c>
      <c r="P30" s="16">
        <f>SUBTOTAL(109,VPOFExpenses[Actual 16/17])</f>
        <v>65667.130000000019</v>
      </c>
      <c r="Q30" s="16">
        <f>SUBTOTAL(109,VPOFExpenses[Budget 17/18])</f>
        <v>77621.180000000008</v>
      </c>
      <c r="R30" s="20">
        <f>SUM(VPOFExpenses[Actual 17/18])</f>
        <v>67560.060000000012</v>
      </c>
      <c r="S30" s="20">
        <f>SUBTOTAL(109,VPOFExpenses[Budget 18/19])</f>
        <v>72173.680000000008</v>
      </c>
      <c r="T30" s="20">
        <f>SUBTOTAL(109,VPOFExpenses[Actual 18/19])</f>
        <v>63806.929999999993</v>
      </c>
      <c r="U30" s="20">
        <f>SUBTOTAL(109,VPOFExpenses[Budget 19/20])</f>
        <v>75141.740839999999</v>
      </c>
      <c r="V30" s="20"/>
    </row>
    <row r="31" spans="1:22" s="8" customFormat="1" ht="13.5" thickBot="1">
      <c r="N31" s="138"/>
      <c r="R31"/>
      <c r="S31"/>
      <c r="T31"/>
      <c r="U31"/>
    </row>
    <row r="32" spans="1:22" ht="19.5" thickBot="1">
      <c r="A32" s="8"/>
      <c r="B32" s="452" t="s">
        <v>102</v>
      </c>
      <c r="C32" s="27">
        <f>VPOFRevenues[[#Totals],[Budget 10/11]]-VPOFExpenses[[#Totals],[Budget 10/11]]</f>
        <v>-132275.88</v>
      </c>
      <c r="D32" s="27">
        <f>VPOFRevenues[[#Totals],[Actual 10/11]]-VPOFExpenses[[#Totals],[Actual 10/11]]</f>
        <v>-117103.85000000002</v>
      </c>
      <c r="E32" s="27">
        <f>VPOFRevenues[[#Totals],[Budget 11/12]]-VPOFExpenses[[#Totals],[Budget 11/12]]</f>
        <v>-157430.41</v>
      </c>
      <c r="F32" s="27">
        <f>VPOFRevenues[[#Totals],[Actual 11/12]]-VPOFExpenses[[#Totals],[Actual 11/12]]</f>
        <v>-123205.68999999999</v>
      </c>
      <c r="G32" s="27">
        <f>VPOFRevenues[[#Totals],[Budget 12/13]]-VPOFExpenses[[#Totals],[Budget 12/13]]</f>
        <v>-97678.733500000002</v>
      </c>
      <c r="H32" s="27">
        <f>VPOFRevenues[[#Totals],[Actual 12/13]]-VPOFExpenses[[#Totals],[Actual 12/13]]</f>
        <v>-64348.14</v>
      </c>
      <c r="I32" s="27">
        <f>VPOFRevenues[[#Totals],[Budget 13/14]]-VPOFExpenses[[#Totals],[Budget 13/14]]</f>
        <v>-100121.2</v>
      </c>
      <c r="J32" s="27">
        <f>VPOFRevenues[[#Totals],[Actual 13/14]]-VPOFExpenses[[#Totals],[Actual 13/14]]</f>
        <v>-63102.339999999989</v>
      </c>
      <c r="K32" s="27">
        <f>VPOFRevenues[[#Totals],[Budget 14/15]]-VPOFExpenses[[#Totals],[Budget 14/15]]</f>
        <v>-78930.03</v>
      </c>
      <c r="L32" s="27">
        <f>VPOFRevenues[[#Totals],[Actual 14/15]]-VPOFExpenses[[#Totals],[Actual 14/15]]</f>
        <v>-59416.929999999986</v>
      </c>
      <c r="M32" s="27">
        <f>VPOFRevenues[[#Totals],[Budget 15/16]]-VPOFExpenses[[#Totals],[Budget 15/16]]</f>
        <v>-78572.12000000001</v>
      </c>
      <c r="N32" s="27">
        <f>VPOFRevenues[[#Totals],[Actual 15/16]]-VPOFExpenses[[#Totals],[Actual 15/16]]</f>
        <v>-63730.510000000009</v>
      </c>
      <c r="O32" s="81">
        <f>VPOFRevenues[[#Totals],[Budget 16/17]]-VPOFExpenses[[#Totals],[Budget 16/17]]</f>
        <v>-81943.880759999985</v>
      </c>
      <c r="P32" s="81">
        <f>VPOFRevenues[[#Totals],[Actual 16/17]]-VPOFExpenses[[#Totals],[Actual 16/17]]</f>
        <v>-65667.130000000019</v>
      </c>
      <c r="Q32" s="81">
        <f>VPOFRevenues[[#Totals],[Budget 17/18]]-VPOFExpenses[[#Totals],[Budget 17/18]]</f>
        <v>-77621.180000000008</v>
      </c>
      <c r="R32" s="204">
        <f>VPOFRevenues[[#Totals],[Actual 17/18]]-VPOFExpenses[[#Totals],[Actual 17/18]]</f>
        <v>-67560.060000000012</v>
      </c>
      <c r="S32" s="204">
        <f>VPOFRevenues[[#Totals],[Budget 18/19]]-VPOFExpenses[[#Totals],[Budget 18/19]]</f>
        <v>-72173.680000000008</v>
      </c>
      <c r="T32" s="204">
        <f>VPOFRevenues[[#Totals],[Actual 18/19]]-VPOFExpenses[[#Totals],[Actual 18/19]]</f>
        <v>-63806.929999999993</v>
      </c>
      <c r="U32" s="204">
        <f>VPOFRevenues[[#Totals],[Budget 19/20]]-VPOFExpenses[[#Totals],[Budget 19/20]]</f>
        <v>-75141.740839999999</v>
      </c>
      <c r="V32" s="204"/>
    </row>
    <row r="33" spans="1:17">
      <c r="A33" s="8"/>
      <c r="B33" s="8"/>
      <c r="C33" s="8"/>
      <c r="D33" s="8"/>
      <c r="E33" s="8"/>
      <c r="F33" s="8"/>
      <c r="G33" s="8"/>
      <c r="H33" s="8"/>
      <c r="I33" s="8"/>
      <c r="J33" s="8"/>
      <c r="K33" s="8"/>
      <c r="L33" s="8"/>
      <c r="M33" s="8"/>
      <c r="N33" s="138"/>
      <c r="O33" s="8"/>
      <c r="P33" s="8"/>
      <c r="Q33" s="8"/>
    </row>
    <row r="34" spans="1:17">
      <c r="A34" s="8"/>
      <c r="B34" s="8"/>
      <c r="C34" s="8"/>
      <c r="D34" s="8"/>
      <c r="E34" s="8"/>
      <c r="F34" s="8"/>
      <c r="G34" s="8"/>
      <c r="H34" s="8"/>
      <c r="I34" s="8"/>
      <c r="J34" s="8"/>
      <c r="K34" s="8"/>
      <c r="L34" s="8"/>
      <c r="M34" s="8"/>
      <c r="N34" s="138"/>
      <c r="O34" s="8"/>
      <c r="P34" s="8"/>
      <c r="Q34" s="8"/>
    </row>
    <row r="35" spans="1:17">
      <c r="A35" s="8"/>
      <c r="B35" s="8"/>
      <c r="C35" s="8"/>
      <c r="D35" s="8"/>
      <c r="E35" s="8"/>
      <c r="F35" s="8"/>
      <c r="G35" s="8"/>
      <c r="H35" s="8"/>
      <c r="I35" s="8"/>
      <c r="J35" s="8"/>
      <c r="K35" s="8"/>
      <c r="L35" s="8"/>
      <c r="M35" s="8"/>
      <c r="N35" s="138"/>
      <c r="O35" s="8"/>
      <c r="P35" s="8"/>
      <c r="Q35" s="8"/>
    </row>
    <row r="36" spans="1:17">
      <c r="A36" s="8"/>
      <c r="B36" s="8"/>
      <c r="C36" s="8"/>
      <c r="D36" s="8"/>
      <c r="E36" s="8"/>
      <c r="F36" s="8"/>
      <c r="G36" s="8"/>
      <c r="H36" s="8"/>
      <c r="I36" s="8"/>
      <c r="J36" s="8"/>
      <c r="K36" s="8"/>
      <c r="L36" s="8"/>
      <c r="M36" s="8"/>
      <c r="N36" s="138"/>
      <c r="O36" s="8"/>
      <c r="P36" s="8"/>
      <c r="Q36" s="8"/>
    </row>
    <row r="37" spans="1:17">
      <c r="A37" s="8"/>
      <c r="B37" s="8"/>
      <c r="C37" s="8"/>
      <c r="D37" s="8"/>
      <c r="E37" s="8"/>
      <c r="F37" s="8"/>
      <c r="G37" s="8"/>
      <c r="H37" s="8"/>
      <c r="I37" s="8"/>
      <c r="J37" s="8"/>
      <c r="K37" s="8"/>
      <c r="L37" s="8"/>
      <c r="M37" s="8"/>
      <c r="N37" s="138"/>
      <c r="O37" s="8"/>
      <c r="P37" s="8"/>
      <c r="Q37" s="8"/>
    </row>
    <row r="38" spans="1:17">
      <c r="A38" s="8"/>
      <c r="B38" s="8"/>
      <c r="C38" s="8"/>
      <c r="D38" s="8"/>
      <c r="E38" s="8"/>
      <c r="F38" s="8"/>
      <c r="G38" s="8"/>
      <c r="H38" s="8"/>
      <c r="I38" s="8"/>
      <c r="J38" s="8"/>
      <c r="K38" s="8"/>
      <c r="L38" s="8"/>
      <c r="M38" s="8"/>
      <c r="N38" s="138"/>
      <c r="O38" s="8"/>
      <c r="P38" s="8"/>
      <c r="Q38" s="8"/>
    </row>
    <row r="39" spans="1:17">
      <c r="A39" s="8"/>
      <c r="B39" s="8"/>
      <c r="C39" s="8"/>
      <c r="D39" s="8"/>
      <c r="E39" s="8"/>
      <c r="F39" s="8"/>
      <c r="G39" s="8"/>
      <c r="H39" s="8"/>
      <c r="I39" s="8"/>
      <c r="J39" s="8"/>
      <c r="K39" s="8"/>
      <c r="L39" s="8"/>
      <c r="M39" s="8"/>
      <c r="N39" s="138"/>
      <c r="O39" s="8"/>
      <c r="P39" s="8"/>
      <c r="Q39" s="8"/>
    </row>
    <row r="40" spans="1:17">
      <c r="A40" s="8"/>
      <c r="B40" s="8"/>
      <c r="C40" s="8"/>
      <c r="D40" s="8"/>
      <c r="E40" s="8"/>
      <c r="F40" s="8"/>
      <c r="G40" s="8"/>
      <c r="H40" s="8"/>
      <c r="I40" s="8"/>
      <c r="J40" s="8"/>
      <c r="K40" s="8"/>
      <c r="L40" s="8"/>
      <c r="M40" s="8"/>
      <c r="N40" s="138"/>
      <c r="O40" s="8"/>
      <c r="P40" s="8"/>
      <c r="Q40" s="8"/>
    </row>
    <row r="41" spans="1:17">
      <c r="B41" s="8"/>
      <c r="C41" s="8"/>
      <c r="D41" s="8"/>
      <c r="E41" s="8"/>
      <c r="F41" s="8"/>
      <c r="G41" s="8"/>
      <c r="H41" s="8"/>
      <c r="I41" s="8"/>
      <c r="J41" s="8"/>
      <c r="K41" s="8"/>
      <c r="L41" s="8"/>
      <c r="M41" s="8"/>
      <c r="N41" s="138"/>
      <c r="O41" s="8"/>
      <c r="P41" s="8"/>
      <c r="Q41" s="8"/>
    </row>
    <row r="42" spans="1:17">
      <c r="B42" s="8"/>
      <c r="C42" s="8"/>
      <c r="D42" s="8"/>
      <c r="E42" s="8"/>
      <c r="F42" s="8"/>
      <c r="G42" s="8"/>
      <c r="H42" s="8"/>
      <c r="I42" s="8"/>
      <c r="J42" s="8"/>
      <c r="K42" s="8"/>
      <c r="L42" s="8"/>
      <c r="M42" s="8"/>
    </row>
    <row r="43" spans="1:17">
      <c r="B43" s="8"/>
      <c r="C43" s="8"/>
      <c r="D43" s="8"/>
      <c r="E43" s="8"/>
      <c r="F43" s="8"/>
      <c r="G43" s="8"/>
      <c r="H43" s="8"/>
      <c r="I43" s="8"/>
      <c r="J43" s="8"/>
      <c r="K43" s="8"/>
      <c r="L43" s="8"/>
      <c r="M43" s="8"/>
    </row>
  </sheetData>
  <customSheetViews>
    <customSheetView guid="{DC934874-AE9C-4DF4-8DA8-4394DABABB42}" showRuler="0" topLeftCell="A7">
      <selection activeCell="G24" sqref="G24"/>
      <pageMargins left="0" right="0" top="0" bottom="0" header="0" footer="0"/>
      <pageSetup orientation="portrait"/>
      <headerFooter alignWithMargins="0"/>
    </customSheetView>
    <customSheetView guid="{7FD89B2E-4983-4B8D-ABA2-A07F685A0C6E}" showRuler="0" topLeftCell="A7">
      <selection activeCell="F20" sqref="F20"/>
      <pageMargins left="0" right="0" top="0" bottom="0" header="0" footer="0"/>
      <pageSetup orientation="portrait"/>
      <headerFooter alignWithMargins="0"/>
    </customSheetView>
    <customSheetView guid="{84D8AC11-A493-4338-8044-6F4154C29695}" showRuler="0" topLeftCell="A7">
      <selection activeCell="H13" sqref="H13"/>
      <pageMargins left="0" right="0" top="0" bottom="0" header="0" footer="0"/>
      <pageSetup orientation="portrait"/>
      <headerFooter alignWithMargins="0"/>
    </customSheetView>
    <customSheetView guid="{BB157E55-0A2E-4D9F-A3BF-E83E5442FC27}" showPageBreaks="1" showRuler="0" topLeftCell="A7">
      <selection activeCell="H13" sqref="H13"/>
      <pageMargins left="0" right="0" top="0" bottom="0" header="0" footer="0"/>
      <pageSetup orientation="portrait"/>
      <headerFooter alignWithMargins="0"/>
    </customSheetView>
  </customSheetViews>
  <mergeCells count="1">
    <mergeCell ref="A1:C1"/>
  </mergeCells>
  <phoneticPr fontId="0" type="noConversion"/>
  <pageMargins left="0" right="0" top="0.98425196850393704" bottom="0.98425196850393704" header="0.51181102362204722" footer="0.51181102362204722"/>
  <pageSetup paperSize="5" orientation="landscape" r:id="rId1"/>
  <headerFooter alignWithMargins="0"/>
  <legacyDrawing r:id="rId2"/>
  <tableParts count="2">
    <tablePart r:id="rId3"/>
    <tablePart r:id="rId4"/>
  </tableParts>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1">
    <tabColor theme="1"/>
  </sheetPr>
  <dimension ref="A1:L31"/>
  <sheetViews>
    <sheetView showGridLines="0" zoomScaleNormal="100" workbookViewId="0">
      <selection activeCell="J14" sqref="J14"/>
    </sheetView>
  </sheetViews>
  <sheetFormatPr defaultRowHeight="12.75"/>
  <cols>
    <col min="1" max="1" width="13.85546875" style="8" customWidth="1"/>
    <col min="2" max="2" width="35.28515625" style="8" customWidth="1"/>
    <col min="3" max="3" width="17.5703125" style="8" hidden="1" customWidth="1"/>
    <col min="4" max="4" width="16.85546875" style="138" hidden="1" customWidth="1"/>
    <col min="5" max="6" width="16.85546875" style="8" hidden="1" customWidth="1"/>
    <col min="7" max="7" width="18" style="8" customWidth="1"/>
    <col min="8" max="10" width="16.85546875" style="8" customWidth="1"/>
    <col min="11" max="11" width="15.42578125" style="8" bestFit="1" customWidth="1"/>
    <col min="12" max="12" width="14.5703125" style="8" bestFit="1" customWidth="1"/>
    <col min="13" max="16384" width="9.140625" style="8"/>
  </cols>
  <sheetData>
    <row r="1" spans="1:12" ht="18">
      <c r="A1" s="534" t="s">
        <v>750</v>
      </c>
      <c r="B1" s="534"/>
      <c r="C1" s="534"/>
    </row>
    <row r="2" spans="1:12">
      <c r="A2" s="28" t="s">
        <v>729</v>
      </c>
      <c r="C2" s="18"/>
    </row>
    <row r="3" spans="1:12">
      <c r="A3" s="9"/>
      <c r="B3" s="9"/>
      <c r="C3" s="61"/>
      <c r="D3" s="152"/>
      <c r="E3" s="61"/>
      <c r="F3" s="9"/>
      <c r="G3" s="9"/>
      <c r="H3" s="9"/>
      <c r="I3" s="9"/>
      <c r="J3" s="9"/>
    </row>
    <row r="4" spans="1:12">
      <c r="A4" s="48"/>
      <c r="B4" s="9" t="s">
        <v>47</v>
      </c>
      <c r="C4" s="9" t="s">
        <v>29</v>
      </c>
      <c r="D4" s="154" t="s">
        <v>30</v>
      </c>
      <c r="E4" s="9" t="s">
        <v>31</v>
      </c>
      <c r="F4" s="9" t="s">
        <v>32</v>
      </c>
      <c r="G4" s="9" t="s">
        <v>33</v>
      </c>
      <c r="H4" s="9" t="s">
        <v>34</v>
      </c>
      <c r="I4" s="9" t="s">
        <v>6</v>
      </c>
      <c r="J4" s="9" t="s">
        <v>7</v>
      </c>
      <c r="K4" s="9" t="s">
        <v>8</v>
      </c>
      <c r="L4" s="9" t="s">
        <v>105</v>
      </c>
    </row>
    <row r="5" spans="1:12">
      <c r="A5" s="48"/>
      <c r="B5" s="9" t="s">
        <v>751</v>
      </c>
      <c r="C5" s="62">
        <v>0</v>
      </c>
      <c r="D5" s="155">
        <v>0</v>
      </c>
      <c r="E5" s="62">
        <v>0</v>
      </c>
      <c r="F5" s="492"/>
      <c r="G5" s="492"/>
      <c r="H5" s="184"/>
      <c r="I5" s="184"/>
      <c r="J5" s="184"/>
      <c r="K5" s="184">
        <f>K19*0.3</f>
        <v>1108.8119999999999</v>
      </c>
      <c r="L5" s="184"/>
    </row>
    <row r="6" spans="1:12">
      <c r="A6" s="48"/>
      <c r="B6" s="8" t="s">
        <v>13</v>
      </c>
      <c r="C6" s="16">
        <f>SUBTOTAL(109,DirectorofCommercialOpsRevenues[Budget 15/16])</f>
        <v>0</v>
      </c>
      <c r="D6" s="140">
        <f>SUBTOTAL(109,DirectorofCommercialOpsRevenues[Actual 15/16])</f>
        <v>0</v>
      </c>
      <c r="E6" s="16">
        <f>SUBTOTAL(109,DirectorofCommercialOpsRevenues[Budget 16/17])</f>
        <v>0</v>
      </c>
      <c r="H6"/>
      <c r="I6"/>
      <c r="J6"/>
      <c r="K6">
        <f>DirectorofCommercialOpsRevenues[Budget 19/20]</f>
        <v>1108.8119999999999</v>
      </c>
      <c r="L6"/>
    </row>
    <row r="7" spans="1:12">
      <c r="B7" s="9"/>
      <c r="C7" s="63"/>
      <c r="D7" s="153"/>
      <c r="E7" s="63"/>
    </row>
    <row r="8" spans="1:12">
      <c r="A8" s="48"/>
      <c r="B8" s="9" t="s">
        <v>61</v>
      </c>
      <c r="C8" s="9" t="s">
        <v>29</v>
      </c>
      <c r="D8" s="154" t="s">
        <v>30</v>
      </c>
      <c r="E8" s="9" t="s">
        <v>31</v>
      </c>
      <c r="F8" s="9" t="s">
        <v>32</v>
      </c>
      <c r="G8" s="9" t="s">
        <v>33</v>
      </c>
      <c r="H8" s="493" t="s">
        <v>34</v>
      </c>
      <c r="I8" s="493" t="s">
        <v>6</v>
      </c>
      <c r="J8" s="493" t="s">
        <v>7</v>
      </c>
      <c r="K8" s="493" t="s">
        <v>8</v>
      </c>
      <c r="L8" s="493" t="s">
        <v>105</v>
      </c>
    </row>
    <row r="9" spans="1:12">
      <c r="A9" s="48" t="s">
        <v>752</v>
      </c>
      <c r="B9" s="9" t="s">
        <v>70</v>
      </c>
      <c r="C9" s="65">
        <v>480</v>
      </c>
      <c r="D9" s="156">
        <v>0</v>
      </c>
      <c r="E9" s="65">
        <v>480</v>
      </c>
      <c r="F9" s="494">
        <v>133.37</v>
      </c>
      <c r="G9" s="494">
        <v>480</v>
      </c>
      <c r="H9" s="495">
        <v>308.95</v>
      </c>
      <c r="I9" s="495">
        <v>350</v>
      </c>
      <c r="J9" s="495">
        <v>281.77</v>
      </c>
      <c r="K9" s="495">
        <v>350</v>
      </c>
      <c r="L9" s="495"/>
    </row>
    <row r="10" spans="1:12">
      <c r="A10" s="48" t="s">
        <v>753</v>
      </c>
      <c r="B10" s="9" t="s">
        <v>72</v>
      </c>
      <c r="C10" s="65">
        <v>480</v>
      </c>
      <c r="D10" s="156">
        <v>480</v>
      </c>
      <c r="E10" s="65">
        <v>480</v>
      </c>
      <c r="F10" s="494">
        <v>440</v>
      </c>
      <c r="G10" s="494">
        <v>480</v>
      </c>
      <c r="H10" s="495">
        <v>320</v>
      </c>
      <c r="I10" s="495">
        <v>480</v>
      </c>
      <c r="J10" s="495">
        <v>690</v>
      </c>
      <c r="K10" s="495">
        <f>480*1.023</f>
        <v>491.03999999999996</v>
      </c>
      <c r="L10" s="495"/>
    </row>
    <row r="11" spans="1:12">
      <c r="A11" s="48" t="s">
        <v>754</v>
      </c>
      <c r="B11" s="9" t="s">
        <v>242</v>
      </c>
      <c r="C11" s="65">
        <v>300</v>
      </c>
      <c r="D11" s="156">
        <v>719.43</v>
      </c>
      <c r="E11" s="65">
        <v>300</v>
      </c>
      <c r="F11" s="494">
        <v>15.84</v>
      </c>
      <c r="G11" s="494">
        <v>200</v>
      </c>
      <c r="H11" s="495">
        <v>25.88</v>
      </c>
      <c r="I11" s="495">
        <v>50</v>
      </c>
      <c r="J11" s="495">
        <v>31.37</v>
      </c>
      <c r="K11" s="495">
        <v>30</v>
      </c>
      <c r="L11" s="495"/>
    </row>
    <row r="12" spans="1:12">
      <c r="A12" s="48" t="s">
        <v>755</v>
      </c>
      <c r="B12" s="9" t="s">
        <v>327</v>
      </c>
      <c r="C12" s="65">
        <v>450</v>
      </c>
      <c r="D12" s="156">
        <v>92.7</v>
      </c>
      <c r="E12" s="65">
        <v>240</v>
      </c>
      <c r="F12" s="494">
        <v>105.42</v>
      </c>
      <c r="G12" s="494">
        <v>300</v>
      </c>
      <c r="H12" s="495">
        <v>45.97</v>
      </c>
      <c r="I12" s="495">
        <v>200</v>
      </c>
      <c r="J12" s="495">
        <v>0</v>
      </c>
      <c r="K12" s="495">
        <v>100</v>
      </c>
      <c r="L12" s="495"/>
    </row>
    <row r="13" spans="1:12">
      <c r="A13" s="48" t="s">
        <v>756</v>
      </c>
      <c r="B13" s="9" t="s">
        <v>757</v>
      </c>
      <c r="C13" s="65">
        <v>600</v>
      </c>
      <c r="D13" s="156">
        <v>268</v>
      </c>
      <c r="E13" s="65">
        <v>450</v>
      </c>
      <c r="F13" s="494">
        <v>343.25</v>
      </c>
      <c r="G13" s="494">
        <v>450</v>
      </c>
      <c r="H13" s="495">
        <v>106.08</v>
      </c>
      <c r="I13" s="495">
        <v>300</v>
      </c>
      <c r="J13" s="495">
        <v>322.27</v>
      </c>
      <c r="K13" s="495">
        <v>300</v>
      </c>
      <c r="L13" s="495"/>
    </row>
    <row r="14" spans="1:12">
      <c r="A14" s="48" t="s">
        <v>758</v>
      </c>
      <c r="B14" s="9" t="s">
        <v>759</v>
      </c>
      <c r="C14" s="65">
        <v>1250</v>
      </c>
      <c r="D14" s="156">
        <v>1147.19</v>
      </c>
      <c r="E14" s="65">
        <v>1350</v>
      </c>
      <c r="F14" s="494">
        <v>1402.16</v>
      </c>
      <c r="G14" s="494">
        <v>1400</v>
      </c>
      <c r="H14" s="495">
        <v>1677.76</v>
      </c>
      <c r="I14" s="495">
        <v>1500</v>
      </c>
      <c r="J14" s="495">
        <v>2162.94</v>
      </c>
      <c r="K14" s="495">
        <v>1800</v>
      </c>
      <c r="L14" s="495"/>
    </row>
    <row r="15" spans="1:12">
      <c r="A15" s="48" t="s">
        <v>760</v>
      </c>
      <c r="B15" s="9" t="s">
        <v>247</v>
      </c>
      <c r="C15" s="65">
        <v>720</v>
      </c>
      <c r="D15" s="156">
        <v>123.4</v>
      </c>
      <c r="E15" s="65">
        <v>720</v>
      </c>
      <c r="F15" s="494">
        <v>283.76</v>
      </c>
      <c r="G15" s="494">
        <v>750</v>
      </c>
      <c r="H15" s="495">
        <v>22.58</v>
      </c>
      <c r="I15" s="495">
        <v>200</v>
      </c>
      <c r="J15" s="495">
        <v>84.34</v>
      </c>
      <c r="K15" s="495">
        <v>200</v>
      </c>
      <c r="L15" s="495"/>
    </row>
    <row r="16" spans="1:12">
      <c r="A16" s="48" t="s">
        <v>761</v>
      </c>
      <c r="B16" s="9" t="s">
        <v>251</v>
      </c>
      <c r="C16" s="65">
        <v>700</v>
      </c>
      <c r="D16" s="156">
        <v>353.41</v>
      </c>
      <c r="E16" s="65">
        <v>700</v>
      </c>
      <c r="F16" s="494">
        <v>451.84</v>
      </c>
      <c r="G16" s="494"/>
      <c r="H16" s="495">
        <f>232.44+12.86</f>
        <v>245.3</v>
      </c>
      <c r="I16" s="495">
        <v>200</v>
      </c>
      <c r="J16" s="495">
        <v>0</v>
      </c>
      <c r="K16" s="495">
        <v>200</v>
      </c>
      <c r="L16" s="495"/>
    </row>
    <row r="17" spans="1:12">
      <c r="A17" s="48" t="s">
        <v>762</v>
      </c>
      <c r="B17" s="9" t="s">
        <v>77</v>
      </c>
      <c r="C17" s="65">
        <v>0</v>
      </c>
      <c r="D17" s="156">
        <v>31.18</v>
      </c>
      <c r="E17" s="65"/>
      <c r="F17" s="494"/>
      <c r="G17" s="494">
        <v>50</v>
      </c>
      <c r="H17" s="495">
        <v>72.7</v>
      </c>
      <c r="I17" s="495">
        <v>75</v>
      </c>
      <c r="J17" s="495">
        <v>94.37</v>
      </c>
      <c r="K17" s="495">
        <v>75</v>
      </c>
      <c r="L17" s="495"/>
    </row>
    <row r="18" spans="1:12">
      <c r="A18" s="48" t="s">
        <v>763</v>
      </c>
      <c r="B18" s="9" t="s">
        <v>89</v>
      </c>
      <c r="C18" s="65">
        <v>0</v>
      </c>
      <c r="D18" s="156">
        <v>0</v>
      </c>
      <c r="E18" s="65">
        <v>200</v>
      </c>
      <c r="F18" s="494">
        <v>47.29</v>
      </c>
      <c r="G18" s="494">
        <v>200</v>
      </c>
      <c r="H18" s="495"/>
      <c r="I18" s="495">
        <v>150</v>
      </c>
      <c r="J18" s="495">
        <v>0</v>
      </c>
      <c r="K18" s="495">
        <v>150</v>
      </c>
      <c r="L18" s="495"/>
    </row>
    <row r="19" spans="1:12" ht="13.5" thickBot="1">
      <c r="A19" s="48"/>
      <c r="B19" s="8" t="s">
        <v>13</v>
      </c>
      <c r="C19" s="16">
        <f>SUBTOTAL(109,DirectorofCommercialOpsExpenses[Budget 15/16])</f>
        <v>4980</v>
      </c>
      <c r="D19" s="140">
        <f>SUBTOTAL(109,DirectorofCommercialOpsExpenses[Actual 15/16])</f>
        <v>3215.3099999999995</v>
      </c>
      <c r="E19" s="16">
        <f>SUBTOTAL(109,DirectorofCommercialOpsExpenses[Budget 16/17])</f>
        <v>4920</v>
      </c>
      <c r="F19" s="16">
        <f>SUBTOTAL(109,DirectorofCommercialOpsExpenses[Actual 16/17])</f>
        <v>3222.9300000000003</v>
      </c>
      <c r="G19" s="16">
        <f>SUBTOTAL(109,DirectorofCommercialOpsExpenses[Budget 17/18])</f>
        <v>4310</v>
      </c>
      <c r="H19" s="205">
        <f>SUM(H9:H18)</f>
        <v>2825.2200000000003</v>
      </c>
      <c r="I19" s="205">
        <f>SUM(I9:I18)</f>
        <v>3505</v>
      </c>
      <c r="J19" s="205">
        <f>SUM(J9:J18)</f>
        <v>3667.06</v>
      </c>
      <c r="K19" s="205">
        <f>SUM(K9:K18)</f>
        <v>3696.04</v>
      </c>
      <c r="L19" s="205"/>
    </row>
    <row r="20" spans="1:12" ht="13.5" thickBot="1">
      <c r="A20" s="48"/>
      <c r="C20" s="16"/>
      <c r="D20" s="140"/>
      <c r="E20" s="16"/>
    </row>
    <row r="21" spans="1:12" ht="19.5" thickBot="1">
      <c r="A21" s="48"/>
      <c r="B21" s="452" t="s">
        <v>102</v>
      </c>
      <c r="C21" s="27">
        <f>DirectorofCommercialOpsRevenues[[#Totals],[Budget 15/16]]-DirectorofCommercialOpsExpenses[[#Totals],[Budget 15/16]]</f>
        <v>-4980</v>
      </c>
      <c r="D21" s="27">
        <f>DirectorofCommercialOpsRevenues[[#Totals],[Actual 15/16]]-DirectorofCommercialOpsExpenses[[#Totals],[Actual 15/16]]</f>
        <v>-3215.3099999999995</v>
      </c>
      <c r="E21" s="118">
        <f>DirectorofCommercialOpsRevenues[[#Totals],[Budget 16/17]]-DirectorofCommercialOpsExpenses[[#Totals],[Budget 16/17]]</f>
        <v>-4920</v>
      </c>
      <c r="F21" s="118">
        <f>DirectorofCommercialOpsRevenues[[#Totals],[Actual 16/17]]-DirectorofCommercialOpsExpenses[[#Totals],[Actual 16/17]]</f>
        <v>-3222.9300000000003</v>
      </c>
      <c r="G21" s="345">
        <f>DirectorofCommercialOpsRevenues[[#Totals],[Budget 17/18]]-DirectorofCommercialOpsExpenses[[#Totals],[Budget 17/18]]</f>
        <v>-4310</v>
      </c>
      <c r="H21" s="345">
        <f>DirectorofCommercialOpsRevenues[[#Totals],[Actual 17/18]]-H19</f>
        <v>-2825.2200000000003</v>
      </c>
      <c r="I21" s="345">
        <f>DirectorofCommercialOpsRevenues[[#Totals],[Budget 18/19]]-I19</f>
        <v>-3505</v>
      </c>
      <c r="J21" s="345">
        <f>DirectorofCommercialOpsRevenues[[#Totals],[Actual 18/19]]-J19</f>
        <v>-3667.06</v>
      </c>
      <c r="K21" s="345">
        <f>DirectorofCommercialOpsRevenues[[#Totals],[Budget 19/20]]-K19</f>
        <v>-2587.2280000000001</v>
      </c>
      <c r="L21" s="118"/>
    </row>
    <row r="22" spans="1:12">
      <c r="A22" s="48"/>
    </row>
    <row r="23" spans="1:12">
      <c r="A23" s="48"/>
    </row>
    <row r="24" spans="1:12">
      <c r="A24" s="48"/>
    </row>
    <row r="27" spans="1:12">
      <c r="E27"/>
      <c r="F27"/>
    </row>
    <row r="28" spans="1:12">
      <c r="E28"/>
      <c r="F28"/>
    </row>
    <row r="29" spans="1:12">
      <c r="E29"/>
      <c r="F29"/>
    </row>
    <row r="30" spans="1:12">
      <c r="E30"/>
      <c r="F30"/>
    </row>
    <row r="31" spans="1:12">
      <c r="E31"/>
      <c r="F31"/>
    </row>
  </sheetData>
  <mergeCells count="1">
    <mergeCell ref="A1:C1"/>
  </mergeCells>
  <pageMargins left="0.7" right="0.7" top="0.75" bottom="0.75" header="0.3" footer="0.3"/>
  <pageSetup orientation="portrait" r:id="rId1"/>
  <legacy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W20"/>
  <sheetViews>
    <sheetView zoomScale="120" zoomScaleNormal="120" workbookViewId="0">
      <selection activeCell="S23" sqref="S23"/>
    </sheetView>
  </sheetViews>
  <sheetFormatPr defaultRowHeight="12.75"/>
  <cols>
    <col min="1" max="1" width="41.85546875" customWidth="1"/>
    <col min="2" max="12" width="15.42578125" hidden="1" customWidth="1"/>
    <col min="13" max="13" width="14.42578125" hidden="1" customWidth="1"/>
    <col min="14" max="14" width="14.28515625" hidden="1" customWidth="1"/>
    <col min="15" max="15" width="12.85546875" hidden="1" customWidth="1"/>
    <col min="16" max="16" width="19.7109375" hidden="1" customWidth="1"/>
    <col min="17" max="17" width="15.140625" style="5" hidden="1" customWidth="1"/>
    <col min="18" max="18" width="14.140625" bestFit="1" customWidth="1"/>
    <col min="19" max="19" width="14.5703125" customWidth="1"/>
    <col min="20" max="20" width="14.42578125" bestFit="1" customWidth="1"/>
    <col min="21" max="21" width="13.42578125" customWidth="1"/>
  </cols>
  <sheetData>
    <row r="1" spans="1:23" ht="18">
      <c r="A1" s="534" t="s">
        <v>16</v>
      </c>
      <c r="B1" s="534"/>
      <c r="C1" s="7"/>
      <c r="D1" s="7"/>
      <c r="E1" s="7"/>
      <c r="F1" s="7"/>
      <c r="G1" s="7"/>
      <c r="H1" s="7"/>
      <c r="I1" s="7"/>
      <c r="J1" s="7"/>
      <c r="K1" s="7"/>
      <c r="L1" s="7"/>
    </row>
    <row r="2" spans="1:23">
      <c r="A2" s="28" t="s">
        <v>17</v>
      </c>
      <c r="B2" s="23"/>
    </row>
    <row r="4" spans="1:23" s="23" customFormat="1" ht="15.75">
      <c r="A4" s="21" t="s">
        <v>18</v>
      </c>
      <c r="B4" s="137" t="s">
        <v>19</v>
      </c>
      <c r="C4" s="137" t="s">
        <v>20</v>
      </c>
      <c r="D4" s="137" t="s">
        <v>21</v>
      </c>
      <c r="E4" s="137" t="s">
        <v>22</v>
      </c>
      <c r="F4" s="137" t="s">
        <v>23</v>
      </c>
      <c r="G4" s="137" t="s">
        <v>24</v>
      </c>
      <c r="H4" s="137" t="s">
        <v>25</v>
      </c>
      <c r="I4" s="137" t="s">
        <v>26</v>
      </c>
      <c r="J4" s="137" t="s">
        <v>27</v>
      </c>
      <c r="K4" s="137" t="s">
        <v>28</v>
      </c>
      <c r="L4" s="22" t="s">
        <v>29</v>
      </c>
      <c r="M4" s="137" t="s">
        <v>30</v>
      </c>
      <c r="N4" s="137" t="s">
        <v>31</v>
      </c>
      <c r="O4" s="137" t="s">
        <v>32</v>
      </c>
      <c r="P4" s="137" t="s">
        <v>33</v>
      </c>
      <c r="Q4" s="137" t="s">
        <v>34</v>
      </c>
      <c r="R4" s="137" t="s">
        <v>6</v>
      </c>
      <c r="S4" s="137" t="s">
        <v>7</v>
      </c>
      <c r="T4" s="137" t="s">
        <v>8</v>
      </c>
      <c r="U4" s="137" t="s">
        <v>35</v>
      </c>
      <c r="W4" s="23" t="s">
        <v>36</v>
      </c>
    </row>
    <row r="5" spans="1:23">
      <c r="A5" s="19" t="s">
        <v>37</v>
      </c>
      <c r="B5" s="351"/>
      <c r="C5" s="351"/>
      <c r="D5" s="351"/>
      <c r="E5" s="351"/>
      <c r="F5" s="351"/>
      <c r="G5" s="351"/>
      <c r="H5" s="351"/>
      <c r="I5" s="351"/>
      <c r="J5" s="351"/>
      <c r="K5" s="351"/>
      <c r="L5" s="351"/>
      <c r="M5" s="351"/>
      <c r="N5" s="351"/>
      <c r="O5" s="351"/>
      <c r="P5" s="351"/>
      <c r="Q5" s="351"/>
      <c r="R5" s="351">
        <f>PresidentRevenues[[#Totals],[Budget 18/19]]</f>
        <v>0</v>
      </c>
      <c r="S5" s="351">
        <f>PresidentRevenues[Actual 18/19]</f>
        <v>0</v>
      </c>
      <c r="T5" s="351">
        <f>PresidentRevenues[[#Totals],[Budget 19/20]]</f>
        <v>0</v>
      </c>
      <c r="U5" s="351"/>
      <c r="W5" s="323"/>
    </row>
    <row r="6" spans="1:23" hidden="1">
      <c r="A6" s="19" t="s">
        <v>38</v>
      </c>
      <c r="B6" s="351"/>
      <c r="C6" s="351"/>
      <c r="D6" s="351"/>
      <c r="E6" s="351"/>
      <c r="F6" s="351"/>
      <c r="G6" s="351"/>
      <c r="H6" s="351"/>
      <c r="I6" s="351"/>
      <c r="J6" s="351"/>
      <c r="K6" s="351"/>
      <c r="L6" s="351"/>
      <c r="M6" s="351"/>
      <c r="N6" s="351"/>
      <c r="O6" s="351"/>
      <c r="P6" s="351"/>
      <c r="Q6" s="351"/>
      <c r="R6" s="351">
        <v>-1490</v>
      </c>
      <c r="S6" s="351">
        <f>PresidentRevenues[Actual 18/19]</f>
        <v>0</v>
      </c>
      <c r="T6" s="351"/>
      <c r="U6" s="351"/>
      <c r="W6" s="323"/>
    </row>
    <row r="7" spans="1:23">
      <c r="A7" s="19" t="s">
        <v>39</v>
      </c>
      <c r="B7" s="351"/>
      <c r="C7" s="351"/>
      <c r="D7" s="351"/>
      <c r="E7" s="351"/>
      <c r="F7" s="351"/>
      <c r="G7" s="351"/>
      <c r="H7" s="351"/>
      <c r="I7" s="351"/>
      <c r="J7" s="351"/>
      <c r="K7" s="351"/>
      <c r="L7" s="351"/>
      <c r="M7" s="351"/>
      <c r="N7" s="351"/>
      <c r="O7" s="351"/>
      <c r="P7" s="351"/>
      <c r="Q7" s="351"/>
      <c r="R7" s="351">
        <f>ElectionsRevenues[[#Totals],[Budget 18/19]]</f>
        <v>0</v>
      </c>
      <c r="S7" s="351">
        <f>ElectionsRevenues[Actual 18/19]</f>
        <v>0</v>
      </c>
      <c r="T7" s="351">
        <f>ElectionsRevenues[[#Totals],[Budget 19/20]]</f>
        <v>0</v>
      </c>
      <c r="U7" s="351"/>
      <c r="W7" s="323"/>
    </row>
    <row r="8" spans="1:23">
      <c r="A8" s="19" t="s">
        <v>40</v>
      </c>
      <c r="B8" s="351"/>
      <c r="C8" s="351"/>
      <c r="D8" s="351"/>
      <c r="E8" s="351"/>
      <c r="F8" s="351"/>
      <c r="G8" s="351"/>
      <c r="H8" s="351"/>
      <c r="I8" s="351"/>
      <c r="J8" s="351"/>
      <c r="K8" s="351"/>
      <c r="L8" s="351"/>
      <c r="M8" s="351"/>
      <c r="N8" s="351"/>
      <c r="O8" s="351"/>
      <c r="P8" s="351"/>
      <c r="Q8" s="351"/>
      <c r="R8" s="351">
        <f>RPORevenues[[#Totals],[Budget 18/19]]</f>
        <v>0</v>
      </c>
      <c r="S8" s="351">
        <f>RPORevenues[Actual 18/19]</f>
        <v>0</v>
      </c>
      <c r="T8" s="351">
        <f>RPORevenues[[#Totals],[Budget 19/20]]</f>
        <v>0</v>
      </c>
      <c r="U8" s="351"/>
      <c r="W8" s="323"/>
    </row>
    <row r="9" spans="1:23">
      <c r="A9" s="19" t="s">
        <v>41</v>
      </c>
      <c r="B9" s="351"/>
      <c r="C9" s="351"/>
      <c r="D9" s="351"/>
      <c r="E9" s="351"/>
      <c r="F9" s="351"/>
      <c r="G9" s="351"/>
      <c r="H9" s="351"/>
      <c r="I9" s="351"/>
      <c r="J9" s="351"/>
      <c r="K9" s="351"/>
      <c r="L9" s="351"/>
      <c r="M9" s="351"/>
      <c r="N9" s="351"/>
      <c r="O9" s="351"/>
      <c r="P9" s="351"/>
      <c r="Q9" s="351"/>
      <c r="R9" s="351">
        <f>StudentGovernmentRevenues[[#Totals],[Budget 18/19]]</f>
        <v>0</v>
      </c>
      <c r="S9" s="351">
        <f>StudentGovernmentRevenues[Actual 18/19]</f>
        <v>0</v>
      </c>
      <c r="T9" s="351">
        <f>StudentGovernmentRevenues[[#Totals],[Budget 19/20]]</f>
        <v>2740</v>
      </c>
      <c r="U9" s="351"/>
      <c r="W9" s="323"/>
    </row>
    <row r="10" spans="1:23" ht="16.5" thickBot="1">
      <c r="A10" s="202" t="s">
        <v>13</v>
      </c>
      <c r="B10" s="203"/>
      <c r="C10" s="203"/>
      <c r="D10" s="203"/>
      <c r="E10" s="203"/>
      <c r="F10" s="203"/>
      <c r="G10" s="203"/>
      <c r="H10" s="203"/>
      <c r="I10" s="203"/>
      <c r="J10" s="203"/>
      <c r="K10" s="203"/>
      <c r="L10" s="199"/>
      <c r="M10" s="199"/>
      <c r="N10" s="199"/>
      <c r="O10" s="199"/>
      <c r="P10" s="199"/>
      <c r="Q10" s="199"/>
      <c r="R10" s="199">
        <f>SUBTOTAL(109,PresidentSummary70[Budget 18/19])</f>
        <v>0</v>
      </c>
      <c r="S10" s="199">
        <f>SUBTOTAL(109,PresidentSummary70[Actual 18/19])</f>
        <v>0</v>
      </c>
      <c r="T10" s="199">
        <f>SUBTOTAL(109,PresidentSummary70[Budget 19/20])</f>
        <v>2740</v>
      </c>
      <c r="U10" s="199"/>
      <c r="W10" s="323"/>
    </row>
    <row r="12" spans="1:23" ht="15.75">
      <c r="A12" s="21" t="s">
        <v>42</v>
      </c>
      <c r="B12" s="137" t="s">
        <v>19</v>
      </c>
      <c r="C12" s="137" t="s">
        <v>20</v>
      </c>
      <c r="D12" s="137" t="s">
        <v>21</v>
      </c>
      <c r="E12" s="137" t="s">
        <v>22</v>
      </c>
      <c r="F12" s="137" t="s">
        <v>23</v>
      </c>
      <c r="G12" s="137" t="s">
        <v>24</v>
      </c>
      <c r="H12" s="137" t="s">
        <v>25</v>
      </c>
      <c r="I12" s="137" t="s">
        <v>26</v>
      </c>
      <c r="J12" s="137" t="s">
        <v>27</v>
      </c>
      <c r="K12" s="137" t="s">
        <v>28</v>
      </c>
      <c r="L12" s="22" t="s">
        <v>29</v>
      </c>
      <c r="M12" s="137" t="s">
        <v>30</v>
      </c>
      <c r="N12" s="137" t="s">
        <v>31</v>
      </c>
      <c r="O12" s="137" t="s">
        <v>32</v>
      </c>
      <c r="P12" s="137" t="s">
        <v>33</v>
      </c>
      <c r="Q12" s="137" t="s">
        <v>34</v>
      </c>
      <c r="R12" s="137" t="s">
        <v>6</v>
      </c>
      <c r="S12" s="137" t="s">
        <v>7</v>
      </c>
      <c r="T12" s="137" t="s">
        <v>8</v>
      </c>
      <c r="U12" s="137" t="s">
        <v>35</v>
      </c>
      <c r="V12" s="23"/>
      <c r="W12" s="23" t="s">
        <v>36</v>
      </c>
    </row>
    <row r="13" spans="1:23">
      <c r="A13" s="19" t="s">
        <v>37</v>
      </c>
      <c r="B13" s="351"/>
      <c r="C13" s="351"/>
      <c r="D13" s="351"/>
      <c r="E13" s="351"/>
      <c r="F13" s="351"/>
      <c r="G13" s="351"/>
      <c r="H13" s="351"/>
      <c r="I13" s="351"/>
      <c r="J13" s="351"/>
      <c r="K13" s="351"/>
      <c r="L13" s="351">
        <f>PresidentRevenues[[#Totals],[Budget 15/16]]-PresidentExpenses[[#Totals],[Budget 15/16]]</f>
        <v>-79712.760000000009</v>
      </c>
      <c r="M13" s="351">
        <f>PresidentRevenues[[#Totals],[Actuals 15/16]]-PresidentExpenses[[#Totals],[Actual 15/16]]</f>
        <v>-54095.470000000008</v>
      </c>
      <c r="N13" s="351">
        <f>PresidentRevenues[[#Totals],[Budget 16/17]]-PresidentExpenses[[#Totals],[Budget 16/17]]</f>
        <v>-76909.350760000001</v>
      </c>
      <c r="O13" s="351">
        <f>PresidentRevenues[[#Totals],[Actual 16/17]]-PresidentExpenses[[#Totals],[Actual 16/17]]</f>
        <v>-71750.77</v>
      </c>
      <c r="P13" s="351">
        <f>PresidentRevenues[[#Totals],[Budget 17/18]]-PresidentExpenses[[#Totals],[Budget 17/18]]</f>
        <v>-70981.180000000008</v>
      </c>
      <c r="Q13" s="351">
        <f>'President (30100)'!R35</f>
        <v>-68167.39</v>
      </c>
      <c r="R13" s="351">
        <f>'President (30100)'!S34</f>
        <v>70468.680000000008</v>
      </c>
      <c r="S13" s="351">
        <f>'President (30100)'!T34</f>
        <v>67122.080000000002</v>
      </c>
      <c r="T13" s="351">
        <f>'President (30100)'!U34</f>
        <v>79615.592839999998</v>
      </c>
      <c r="U13" s="351"/>
      <c r="W13" s="323">
        <f>(PresidentSummary[[#This Row],[Budget 19/20]]-PresidentSummary[[#This Row],[Budget 18/19]])/PresidentSummary[[#This Row],[Budget 18/19]]</f>
        <v>0.12980110937227701</v>
      </c>
    </row>
    <row r="14" spans="1:23" hidden="1">
      <c r="A14" s="19" t="s">
        <v>38</v>
      </c>
      <c r="B14" s="351"/>
      <c r="C14" s="351"/>
      <c r="D14" s="351"/>
      <c r="E14" s="351"/>
      <c r="F14" s="351"/>
      <c r="G14" s="351"/>
      <c r="H14" s="351"/>
      <c r="I14" s="351"/>
      <c r="J14" s="351"/>
      <c r="K14" s="351"/>
      <c r="L14" s="351">
        <v>-14772.56</v>
      </c>
      <c r="M14" s="351">
        <v>-12968.810000000001</v>
      </c>
      <c r="N14" s="351">
        <v>-18766.8</v>
      </c>
      <c r="O14" s="351">
        <v>-10830.94</v>
      </c>
      <c r="P14" s="351">
        <v>-11743.8</v>
      </c>
      <c r="Q14" s="351">
        <v>-6918.8600000000006</v>
      </c>
      <c r="R14" s="351">
        <v>-1490</v>
      </c>
      <c r="S14" s="351">
        <f>'President (30100)'!T35</f>
        <v>-67122.080000000002</v>
      </c>
      <c r="T14" s="351"/>
      <c r="U14" s="351"/>
      <c r="W14" s="323">
        <f>(PresidentSummary[[#This Row],[Budget 19/20]]-PresidentSummary[[#This Row],[Budget 18/19]])/PresidentSummary[[#This Row],[Budget 18/19]]</f>
        <v>-1</v>
      </c>
    </row>
    <row r="15" spans="1:23">
      <c r="A15" s="19" t="s">
        <v>39</v>
      </c>
      <c r="B15" s="351"/>
      <c r="C15" s="351"/>
      <c r="D15" s="351"/>
      <c r="E15" s="351"/>
      <c r="F15" s="351"/>
      <c r="G15" s="351"/>
      <c r="H15" s="351"/>
      <c r="I15" s="351"/>
      <c r="J15" s="351"/>
      <c r="K15" s="351"/>
      <c r="L15" s="351">
        <f>ElectionsRevenues[[#Totals],[Budget 15/16]]-ElectionsExpenses[[#Totals],[Budget 15/16]]</f>
        <v>-3500</v>
      </c>
      <c r="M15" s="351">
        <f>ElectionsRevenues[[#Totals],[Actual 15/16]]-ElectionsExpenses[[#Totals],[Actual 15/16]]</f>
        <v>-6636.66</v>
      </c>
      <c r="N15" s="351">
        <f>ElectionsRevenues[[#Totals],[Budget 16/17]]-ElectionsExpenses[[#Totals],[Budget 16/17]]</f>
        <v>-5850</v>
      </c>
      <c r="O15" s="351">
        <f>ElectionsRevenues[[#Totals],[Actual 16/17]]-ElectionsExpenses[[#Totals],[Actual 16/17]]</f>
        <v>-5223.74</v>
      </c>
      <c r="P15" s="351">
        <f>ElectionsRevenues[[#Totals],[Budget 17/18]]-ElectionsExpenses[[#Totals],[Budget 17/18]]</f>
        <v>-9275</v>
      </c>
      <c r="Q15" s="351">
        <f>ElectionsRevenues[[#Totals],[Actual 17/18]]-ElectionsExpenses[[#Totals],[Actual 17/18]]</f>
        <v>-3080.22</v>
      </c>
      <c r="R15" s="351">
        <f>ElectionsExpenses[[#Totals],[Budget 18/19]]</f>
        <v>6300</v>
      </c>
      <c r="S15" s="351">
        <f>ElectionsExpenses[[#Totals],[Actual 18/19]]</f>
        <v>8847.18</v>
      </c>
      <c r="T15" s="351">
        <f>ElectionsExpenses[[#Totals],[Budget 19/20]]</f>
        <v>6800</v>
      </c>
      <c r="U15" s="351"/>
      <c r="W15" s="323">
        <f>(PresidentSummary[[#This Row],[Budget 19/20]]-PresidentSummary[[#This Row],[Budget 18/19]])/PresidentSummary[[#This Row],[Budget 18/19]]</f>
        <v>7.9365079365079361E-2</v>
      </c>
    </row>
    <row r="16" spans="1:23">
      <c r="A16" s="19" t="s">
        <v>40</v>
      </c>
      <c r="B16" s="351"/>
      <c r="C16" s="351"/>
      <c r="D16" s="351"/>
      <c r="E16" s="351"/>
      <c r="F16" s="351"/>
      <c r="G16" s="351"/>
      <c r="H16" s="351"/>
      <c r="I16" s="351"/>
      <c r="J16" s="351"/>
      <c r="K16" s="351"/>
      <c r="L16" s="351">
        <f>RPORevenues[[#Totals],[Budget 15/16]]-RPOExpenses[[#Totals],[Budget 15/16]]</f>
        <v>-1491.01</v>
      </c>
      <c r="M16" s="351">
        <f>RPORevenues[[#Totals],[Actual 15/16]]-RPOExpenses[[#Totals],[Actual 15/16]]</f>
        <v>-191.07999999999998</v>
      </c>
      <c r="N16" s="351">
        <f>RPORevenues[[#Totals],[Budget 16/17]]-RPOExpenses[[#Totals],[Budget 16/17]]</f>
        <v>-1410</v>
      </c>
      <c r="O16" s="351">
        <f>RPORevenues[[#Totals],[Actual 16/17]]-RPOExpenses[[#Totals],[Actual 16/17]]</f>
        <v>-479.56000000000006</v>
      </c>
      <c r="P16" s="351">
        <f>RPORevenues[[#Totals],[Budget 17/18]]-RPOExpenses[[#Totals],[Budget 17/18]]</f>
        <v>-1410</v>
      </c>
      <c r="Q16" s="351">
        <f>RPORevenues[[#Totals],[Actual 17/18]]-RPOExpenses[[#Totals],[Actual 17/18]]</f>
        <v>-271.33</v>
      </c>
      <c r="R16" s="351">
        <f>RPOExpenses[[#Totals],[Budget 18/19]]</f>
        <v>870</v>
      </c>
      <c r="S16" s="351">
        <f>RPOExpenses[[#Totals],[Actual 18/19]]</f>
        <v>759.67000000000007</v>
      </c>
      <c r="T16" s="351">
        <f>RPOExpenses[[#Totals],[Budget 19/20]]</f>
        <v>2220</v>
      </c>
      <c r="U16" s="351"/>
      <c r="W16" s="323">
        <f>(PresidentSummary[[#This Row],[Budget 19/20]]-PresidentSummary[[#This Row],[Budget 18/19]])/PresidentSummary[[#This Row],[Budget 18/19]]</f>
        <v>1.5517241379310345</v>
      </c>
    </row>
    <row r="17" spans="1:23">
      <c r="A17" s="19" t="s">
        <v>41</v>
      </c>
      <c r="B17" s="351"/>
      <c r="C17" s="351"/>
      <c r="D17" s="351"/>
      <c r="E17" s="351"/>
      <c r="F17" s="351"/>
      <c r="G17" s="351"/>
      <c r="H17" s="351"/>
      <c r="I17" s="351"/>
      <c r="J17" s="351"/>
      <c r="K17" s="351"/>
      <c r="L17" s="351">
        <f>StudentGovernmentRevenues[[#Totals],[Budget 15/16]]-StudentGovernmentExpenses[[#Totals],[Budget 15/16]]</f>
        <v>-10000</v>
      </c>
      <c r="M17" s="351">
        <f>StudentGovernmentRevenues[[#Totals],[Actual 15/16]]-StudentGovernmentExpenses[[#Totals],[Actual 15/16]]</f>
        <v>-10782.07</v>
      </c>
      <c r="N17" s="351">
        <f>StudentGovernmentRevenues[[#Totals],[Budget 16/17]]-StudentGovernmentExpenses[[#Totals],[Budget 16/17]]</f>
        <v>-5951.66</v>
      </c>
      <c r="O17" s="351">
        <f>StudentGovernmentRevenues[[#Totals],[Actual 16/17]]-StudentGovernmentExpenses[[#Totals],[Actual 16/17]]</f>
        <v>-3656.6900000000005</v>
      </c>
      <c r="P17" s="351">
        <f>StudentGovernmentRevenues[[#Totals],[Budget 17/18]]-StudentGovernmentExpenses[[#Totals],[Budget 17/18]]</f>
        <v>-4701</v>
      </c>
      <c r="Q17" s="351">
        <f>-'Student Gov (31100)'!R35</f>
        <v>6100.1</v>
      </c>
      <c r="R17" s="351">
        <f>'Student Gov (31100)'!S34</f>
        <v>11100</v>
      </c>
      <c r="S17" s="351">
        <f>'Student Gov (31100)'!T34</f>
        <v>9449.4700000000012</v>
      </c>
      <c r="T17" s="351">
        <f>'Student Gov (31100)'!U34</f>
        <v>16990</v>
      </c>
      <c r="U17" s="351"/>
      <c r="W17" s="323">
        <f>(PresidentSummary[[#This Row],[Budget 19/20]]-PresidentSummary[[#This Row],[Budget 18/19]])/PresidentSummary[[#This Row],[Budget 18/19]]</f>
        <v>0.53063063063063065</v>
      </c>
    </row>
    <row r="18" spans="1:23" ht="16.5" thickBot="1">
      <c r="A18" s="202" t="s">
        <v>13</v>
      </c>
      <c r="B18" s="203"/>
      <c r="C18" s="203"/>
      <c r="D18" s="203"/>
      <c r="E18" s="203"/>
      <c r="F18" s="203"/>
      <c r="G18" s="203"/>
      <c r="H18" s="203"/>
      <c r="I18" s="203"/>
      <c r="J18" s="203"/>
      <c r="K18" s="203"/>
      <c r="L18" s="199">
        <f>SUBTOTAL(109,PresidentSummary[Budget 15/16])</f>
        <v>-94703.77</v>
      </c>
      <c r="M18" s="199">
        <f>SUBTOTAL(109,PresidentSummary[Actual 15/16])</f>
        <v>-71705.279999999999</v>
      </c>
      <c r="N18" s="199">
        <f>SUBTOTAL(109,PresidentSummary[Budget 16/17])</f>
        <v>-90121.010760000005</v>
      </c>
      <c r="O18" s="199">
        <f>SUBTOTAL(109,PresidentSummary[Actual 16/17])</f>
        <v>-81110.760000000009</v>
      </c>
      <c r="P18" s="199">
        <f>SUBTOTAL(109,PresidentSummary[Budget 17/18])</f>
        <v>-86367.180000000008</v>
      </c>
      <c r="Q18" s="199">
        <f>SUBTOTAL(109,PresidentSummary[Actual 17/18])</f>
        <v>-65418.840000000004</v>
      </c>
      <c r="R18" s="199">
        <f>SUBTOTAL(109,PresidentSummary[Budget 18/19])</f>
        <v>88738.680000000008</v>
      </c>
      <c r="S18" s="199">
        <f>SUBTOTAL(109,PresidentSummary[Actual 18/19])</f>
        <v>86178.400000000009</v>
      </c>
      <c r="T18" s="199">
        <f>SUBTOTAL(109,PresidentSummary[Budget 19/20])</f>
        <v>105625.59284</v>
      </c>
      <c r="U18" s="199"/>
      <c r="W18" s="323">
        <f>(PresidentSummary[[#Totals],[Budget 19/20]]-PresidentSummary[[#Totals],[Budget 18/19]])/PresidentSummary[[#Totals],[Budget 18/19]]</f>
        <v>0.19029934680119187</v>
      </c>
    </row>
    <row r="19" spans="1:23" ht="13.5" thickBot="1">
      <c r="O19" t="s">
        <v>43</v>
      </c>
    </row>
    <row r="20" spans="1:23" ht="15.75" thickBot="1">
      <c r="A20" s="328" t="s">
        <v>44</v>
      </c>
      <c r="B20" s="330"/>
      <c r="C20" s="330"/>
      <c r="D20" s="331"/>
      <c r="E20" s="331"/>
      <c r="F20" s="331"/>
      <c r="G20" s="331"/>
      <c r="H20" s="331"/>
      <c r="I20" s="331"/>
      <c r="J20" s="331"/>
      <c r="K20" s="331"/>
      <c r="L20" s="331"/>
      <c r="M20" s="331"/>
      <c r="N20" s="331"/>
      <c r="O20" s="332"/>
      <c r="P20" s="329"/>
      <c r="Q20" s="327"/>
      <c r="R20" s="327">
        <f>PresidentSummary70[[#Totals],[Budget 18/19]]-PresidentSummary[[#Totals],[Budget 18/19]]</f>
        <v>-88738.680000000008</v>
      </c>
      <c r="S20" s="327"/>
      <c r="T20" s="327">
        <f>PresidentSummary70[[#Totals],[Budget 19/20]]-PresidentSummary[[#Totals],[Budget 19/20]]</f>
        <v>-102885.59284</v>
      </c>
      <c r="U20" s="311"/>
      <c r="W20" s="323">
        <f>(T20-R20)/R20</f>
        <v>0.15942216900228839</v>
      </c>
    </row>
  </sheetData>
  <mergeCells count="1">
    <mergeCell ref="A1:B1"/>
  </mergeCells>
  <pageMargins left="0.7" right="0.7" top="0.75" bottom="0.75" header="0.3" footer="0.3"/>
  <pageSetup orientation="portrait" r:id="rId1"/>
  <legacyDrawing r:id="rId2"/>
  <tableParts count="2">
    <tablePart r:id="rId3"/>
    <tablePart r:id="rId4"/>
  </tablePart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000"/>
    <pageSetUpPr fitToPage="1"/>
  </sheetPr>
  <dimension ref="A1:K54"/>
  <sheetViews>
    <sheetView zoomScaleNormal="100" workbookViewId="0">
      <selection activeCell="A9" sqref="A9"/>
    </sheetView>
  </sheetViews>
  <sheetFormatPr defaultRowHeight="15"/>
  <cols>
    <col min="1" max="1" width="58.140625" style="226" customWidth="1"/>
    <col min="2" max="2" width="23.5703125" style="226" customWidth="1"/>
    <col min="3" max="3" width="18.140625" style="226" customWidth="1"/>
    <col min="4" max="4" width="17.42578125" style="226" customWidth="1"/>
    <col min="5" max="5" width="9.140625" style="226"/>
    <col min="6" max="6" width="33.140625" style="226" customWidth="1"/>
    <col min="7" max="7" width="18.28515625" style="226" customWidth="1"/>
    <col min="8" max="8" width="14" style="226" bestFit="1" customWidth="1"/>
    <col min="9" max="9" width="23.85546875" style="226" customWidth="1"/>
    <col min="10" max="10" width="19.42578125" style="226" customWidth="1"/>
    <col min="11" max="11" width="15" style="226" bestFit="1" customWidth="1"/>
    <col min="12" max="16384" width="9.140625" style="226"/>
  </cols>
  <sheetData>
    <row r="1" spans="1:9" ht="21">
      <c r="A1" s="235" t="s">
        <v>764</v>
      </c>
    </row>
    <row r="2" spans="1:9">
      <c r="A2" s="234" t="s">
        <v>163</v>
      </c>
      <c r="B2" s="233"/>
      <c r="C2" s="233"/>
    </row>
    <row r="3" spans="1:9">
      <c r="A3" s="496" t="s">
        <v>765</v>
      </c>
      <c r="B3" s="496" t="s">
        <v>766</v>
      </c>
      <c r="C3" s="496" t="s">
        <v>767</v>
      </c>
      <c r="D3" s="496" t="s">
        <v>8</v>
      </c>
      <c r="F3" s="398" t="s">
        <v>768</v>
      </c>
    </row>
    <row r="4" spans="1:9">
      <c r="A4" s="497" t="s">
        <v>769</v>
      </c>
      <c r="B4" s="498">
        <v>1605004.39</v>
      </c>
      <c r="C4" s="498">
        <v>1734880.83</v>
      </c>
      <c r="D4" s="499">
        <v>1777551.1580999999</v>
      </c>
      <c r="F4" s="399">
        <f>(D4-C4)/C4</f>
        <v>2.4595538415165846E-2</v>
      </c>
      <c r="I4" s="238"/>
    </row>
    <row r="5" spans="1:9">
      <c r="A5" s="500" t="s">
        <v>770</v>
      </c>
      <c r="B5" s="498">
        <v>133218.19</v>
      </c>
      <c r="C5" s="498">
        <v>141813.61000000002</v>
      </c>
      <c r="D5" s="498">
        <v>112433.92000000001</v>
      </c>
      <c r="F5" s="399">
        <f t="shared" ref="F5:F36" si="0">(D5-C5)/C5</f>
        <v>-0.20717115938308037</v>
      </c>
      <c r="I5" s="238"/>
    </row>
    <row r="6" spans="1:9">
      <c r="A6" s="497" t="s">
        <v>771</v>
      </c>
      <c r="B6" s="498">
        <v>887050</v>
      </c>
      <c r="C6" s="498">
        <v>867176.19000000006</v>
      </c>
      <c r="D6" s="498">
        <v>915532.5</v>
      </c>
      <c r="F6" s="399">
        <f t="shared" si="0"/>
        <v>5.5762958620900256E-2</v>
      </c>
      <c r="I6" s="238"/>
    </row>
    <row r="7" spans="1:9">
      <c r="A7" s="547" t="s">
        <v>772</v>
      </c>
      <c r="B7" s="548">
        <v>714607.9</v>
      </c>
      <c r="C7" s="548">
        <v>738686.89</v>
      </c>
      <c r="D7" s="548">
        <v>832920</v>
      </c>
      <c r="F7" s="399">
        <f t="shared" si="0"/>
        <v>0.1275684072313778</v>
      </c>
      <c r="I7" s="238"/>
    </row>
    <row r="8" spans="1:9">
      <c r="A8" s="500" t="s">
        <v>773</v>
      </c>
      <c r="B8" s="501">
        <v>1311231</v>
      </c>
      <c r="C8" s="502">
        <v>750195.05</v>
      </c>
      <c r="D8" s="501">
        <v>0</v>
      </c>
      <c r="E8" s="442"/>
      <c r="F8" s="399">
        <f t="shared" si="0"/>
        <v>-1</v>
      </c>
      <c r="I8" s="238"/>
    </row>
    <row r="9" spans="1:9">
      <c r="A9" s="500" t="s">
        <v>774</v>
      </c>
      <c r="B9" s="503">
        <v>1812852.04</v>
      </c>
      <c r="C9" s="502">
        <v>1691774.21</v>
      </c>
      <c r="D9" s="501">
        <v>1761075.321</v>
      </c>
      <c r="E9" s="442"/>
      <c r="F9" s="399"/>
      <c r="I9" s="238"/>
    </row>
    <row r="10" spans="1:9" ht="15.75" thickBot="1">
      <c r="A10" s="232" t="s">
        <v>13</v>
      </c>
      <c r="B10" s="432">
        <f>SUM(B4:B9)</f>
        <v>6463963.5200000005</v>
      </c>
      <c r="C10" s="432">
        <f>SUM(C4:C9)</f>
        <v>5924526.7800000003</v>
      </c>
      <c r="D10" s="433">
        <f>SUM(D4:D9)</f>
        <v>5399512.8991</v>
      </c>
      <c r="F10" s="399">
        <f t="shared" si="0"/>
        <v>-8.8617015399835894E-2</v>
      </c>
      <c r="I10" s="238"/>
    </row>
    <row r="11" spans="1:9">
      <c r="F11" s="399"/>
    </row>
    <row r="12" spans="1:9">
      <c r="A12" s="496" t="s">
        <v>775</v>
      </c>
      <c r="B12" s="496" t="s">
        <v>766</v>
      </c>
      <c r="C12" s="496" t="s">
        <v>767</v>
      </c>
      <c r="D12" s="496" t="s">
        <v>8</v>
      </c>
      <c r="F12" s="399"/>
      <c r="G12" s="238"/>
    </row>
    <row r="13" spans="1:9">
      <c r="A13" s="497" t="s">
        <v>769</v>
      </c>
      <c r="B13" s="498">
        <v>1216264.71</v>
      </c>
      <c r="C13" s="498">
        <v>1243223.4199999997</v>
      </c>
      <c r="D13" s="499">
        <v>1236677.3134188501</v>
      </c>
      <c r="F13" s="399">
        <f t="shared" si="0"/>
        <v>-5.2654305540267444E-3</v>
      </c>
      <c r="I13" s="238"/>
    </row>
    <row r="14" spans="1:9">
      <c r="A14" s="500" t="s">
        <v>770</v>
      </c>
      <c r="B14" s="498">
        <v>60546.770000000004</v>
      </c>
      <c r="C14" s="498">
        <v>59348.59</v>
      </c>
      <c r="D14" s="498">
        <v>60349.500000000007</v>
      </c>
      <c r="F14" s="399">
        <f t="shared" si="0"/>
        <v>1.686493310119096E-2</v>
      </c>
      <c r="I14" s="238"/>
    </row>
    <row r="15" spans="1:9">
      <c r="A15" s="497" t="s">
        <v>771</v>
      </c>
      <c r="B15" s="498">
        <v>653125</v>
      </c>
      <c r="C15" s="498">
        <v>597460.3600000001</v>
      </c>
      <c r="D15" s="498">
        <v>672548.125</v>
      </c>
      <c r="F15" s="399">
        <f t="shared" si="0"/>
        <v>0.12567823746499246</v>
      </c>
      <c r="I15" s="238"/>
    </row>
    <row r="16" spans="1:9">
      <c r="A16" s="547" t="s">
        <v>772</v>
      </c>
      <c r="B16" s="548">
        <v>279218.46999999997</v>
      </c>
      <c r="C16" s="548">
        <v>301426.23</v>
      </c>
      <c r="D16" s="548">
        <v>352923.36</v>
      </c>
      <c r="F16" s="399">
        <f t="shared" si="0"/>
        <v>0.17084488632591799</v>
      </c>
      <c r="I16" s="238"/>
    </row>
    <row r="17" spans="1:11">
      <c r="A17" s="500" t="s">
        <v>773</v>
      </c>
      <c r="B17" s="498">
        <v>522417</v>
      </c>
      <c r="C17" s="504">
        <v>361076.58</v>
      </c>
      <c r="D17" s="498">
        <v>0</v>
      </c>
      <c r="E17" s="442"/>
      <c r="F17" s="399">
        <f t="shared" si="0"/>
        <v>-1</v>
      </c>
      <c r="I17" s="238"/>
      <c r="J17" s="238"/>
    </row>
    <row r="18" spans="1:11">
      <c r="A18" s="500" t="s">
        <v>774</v>
      </c>
      <c r="B18" s="498">
        <v>1471480.8997679746</v>
      </c>
      <c r="C18" s="504">
        <v>1369270.8800000001</v>
      </c>
      <c r="D18" s="498">
        <v>1271142</v>
      </c>
      <c r="E18" s="442"/>
      <c r="F18" s="399"/>
      <c r="I18" s="238"/>
      <c r="J18" s="238"/>
    </row>
    <row r="19" spans="1:11" ht="15.75" thickBot="1">
      <c r="A19" s="232" t="s">
        <v>13</v>
      </c>
      <c r="B19" s="432">
        <f>SUM(B13:B18)</f>
        <v>4203052.8497679746</v>
      </c>
      <c r="C19" s="432">
        <f t="shared" ref="C19:D19" si="1">SUM(C13:C18)</f>
        <v>3931806.0599999996</v>
      </c>
      <c r="D19" s="432">
        <f t="shared" si="1"/>
        <v>3593640.2984188502</v>
      </c>
      <c r="F19" s="399">
        <f t="shared" si="0"/>
        <v>-8.6007742096300008E-2</v>
      </c>
      <c r="I19" s="238"/>
    </row>
    <row r="20" spans="1:11" ht="15.75" thickBot="1">
      <c r="F20" s="399"/>
      <c r="J20" s="442"/>
      <c r="K20" s="238"/>
    </row>
    <row r="21" spans="1:11" ht="15.75" thickBot="1">
      <c r="A21" s="326" t="s">
        <v>504</v>
      </c>
      <c r="B21" s="228">
        <f>B10-B19</f>
        <v>2260910.6702320259</v>
      </c>
      <c r="C21" s="228">
        <f t="shared" ref="C21:D21" si="2">C10-C19</f>
        <v>1992720.7200000007</v>
      </c>
      <c r="D21" s="228">
        <f t="shared" si="2"/>
        <v>1805872.6006811499</v>
      </c>
      <c r="F21" s="399">
        <f t="shared" si="0"/>
        <v>-9.376533171133522E-2</v>
      </c>
    </row>
    <row r="22" spans="1:11">
      <c r="F22" s="399"/>
      <c r="I22" s="238"/>
    </row>
    <row r="23" spans="1:11">
      <c r="A23" s="496" t="s">
        <v>61</v>
      </c>
      <c r="B23" s="496" t="s">
        <v>766</v>
      </c>
      <c r="C23" s="496" t="s">
        <v>767</v>
      </c>
      <c r="D23" s="496" t="s">
        <v>8</v>
      </c>
      <c r="F23" s="399"/>
    </row>
    <row r="24" spans="1:11">
      <c r="A24" s="497" t="s">
        <v>769</v>
      </c>
      <c r="B24" s="498">
        <v>365509.41</v>
      </c>
      <c r="C24" s="498">
        <v>472542.18000000005</v>
      </c>
      <c r="D24" s="499">
        <v>463367.91058260005</v>
      </c>
      <c r="F24" s="399">
        <f t="shared" si="0"/>
        <v>-1.9414710063342926E-2</v>
      </c>
      <c r="G24" s="238"/>
    </row>
    <row r="25" spans="1:11">
      <c r="A25" s="500" t="s">
        <v>770</v>
      </c>
      <c r="B25" s="498">
        <v>87029.759999999995</v>
      </c>
      <c r="C25" s="498">
        <v>91752.390000000014</v>
      </c>
      <c r="D25" s="498">
        <v>76548.841199999995</v>
      </c>
      <c r="F25" s="399">
        <f t="shared" si="0"/>
        <v>-0.16570193757350643</v>
      </c>
      <c r="H25" s="238"/>
      <c r="I25" s="238"/>
    </row>
    <row r="26" spans="1:11">
      <c r="A26" s="497" t="s">
        <v>771</v>
      </c>
      <c r="B26" s="498">
        <v>125161.54999999999</v>
      </c>
      <c r="C26" s="498">
        <v>113066.34000000001</v>
      </c>
      <c r="D26" s="498">
        <v>202301.07555555558</v>
      </c>
      <c r="F26" s="399">
        <f t="shared" si="0"/>
        <v>0.78922458757889891</v>
      </c>
    </row>
    <row r="27" spans="1:11">
      <c r="A27" s="497" t="s">
        <v>772</v>
      </c>
      <c r="B27" s="498">
        <v>276573.89</v>
      </c>
      <c r="C27" s="498">
        <v>335668.55</v>
      </c>
      <c r="D27" s="498">
        <v>470040.04000000004</v>
      </c>
      <c r="F27" s="399">
        <f t="shared" si="0"/>
        <v>0.40031003798240872</v>
      </c>
    </row>
    <row r="28" spans="1:11">
      <c r="A28" s="500" t="s">
        <v>773</v>
      </c>
      <c r="B28" s="498">
        <v>948891</v>
      </c>
      <c r="C28" s="505">
        <v>714699.61</v>
      </c>
      <c r="D28" s="498"/>
      <c r="E28" s="442"/>
      <c r="F28" s="399">
        <f t="shared" si="0"/>
        <v>-1</v>
      </c>
      <c r="G28" s="238"/>
    </row>
    <row r="29" spans="1:11">
      <c r="A29" s="500" t="s">
        <v>776</v>
      </c>
      <c r="B29" s="505">
        <v>224800</v>
      </c>
      <c r="C29" s="505">
        <v>228687.06</v>
      </c>
      <c r="D29" s="506"/>
      <c r="E29" s="442"/>
      <c r="F29" s="399">
        <f t="shared" si="0"/>
        <v>-1</v>
      </c>
    </row>
    <row r="30" spans="1:11">
      <c r="A30" s="500" t="s">
        <v>774</v>
      </c>
      <c r="B30" s="504">
        <v>327919.74450232025</v>
      </c>
      <c r="C30" s="504">
        <v>334155.9499999999</v>
      </c>
      <c r="D30" s="506">
        <v>465815.31</v>
      </c>
      <c r="E30" s="442"/>
      <c r="F30" s="399"/>
    </row>
    <row r="31" spans="1:11">
      <c r="A31" s="500" t="s">
        <v>777</v>
      </c>
      <c r="B31" s="498">
        <v>202413.54</v>
      </c>
      <c r="C31" s="498">
        <v>191376.7020000004</v>
      </c>
      <c r="D31" s="498">
        <v>113698.22588888888</v>
      </c>
      <c r="E31" s="442"/>
      <c r="F31" s="399">
        <f t="shared" si="0"/>
        <v>-0.40589306482620524</v>
      </c>
    </row>
    <row r="32" spans="1:11">
      <c r="A32" s="507" t="s">
        <v>778</v>
      </c>
      <c r="B32" s="337">
        <v>69325.040000000008</v>
      </c>
      <c r="C32" s="337">
        <v>69385.040000000008</v>
      </c>
      <c r="D32" s="337">
        <v>43391.342880000004</v>
      </c>
      <c r="F32" s="399">
        <f t="shared" si="0"/>
        <v>-0.37462970576942811</v>
      </c>
    </row>
    <row r="33" spans="1:10">
      <c r="A33" s="500" t="s">
        <v>779</v>
      </c>
      <c r="B33" s="497"/>
      <c r="C33" s="497"/>
      <c r="D33" s="501">
        <v>1108.8119999999999</v>
      </c>
      <c r="F33" s="399"/>
      <c r="I33" s="238"/>
    </row>
    <row r="34" spans="1:10" ht="15.75" thickBot="1">
      <c r="A34" s="232" t="s">
        <v>13</v>
      </c>
      <c r="B34" s="432">
        <f>SUM(B24:B33)</f>
        <v>2627623.9345023204</v>
      </c>
      <c r="C34" s="432">
        <f>SUM(C24:C33)</f>
        <v>2551333.8220000002</v>
      </c>
      <c r="D34" s="433">
        <f>SUM(D24:D33)</f>
        <v>1836271.5581070443</v>
      </c>
      <c r="E34" s="442"/>
      <c r="F34" s="399">
        <f t="shared" si="0"/>
        <v>-0.28026997397479558</v>
      </c>
      <c r="H34" s="508"/>
      <c r="I34" s="238"/>
      <c r="J34" s="508"/>
    </row>
    <row r="35" spans="1:10" ht="15.75" thickBot="1">
      <c r="B35" s="230"/>
      <c r="C35" s="230"/>
      <c r="D35" s="230"/>
      <c r="F35" s="399"/>
    </row>
    <row r="36" spans="1:10" ht="15.75" thickBot="1">
      <c r="A36" s="326" t="s">
        <v>44</v>
      </c>
      <c r="B36" s="228">
        <f>B10-B19-B34</f>
        <v>-366713.26427029446</v>
      </c>
      <c r="C36" s="228">
        <f>C10-C19-C34</f>
        <v>-558613.10199999949</v>
      </c>
      <c r="D36" s="227">
        <f>D10-D19-D34</f>
        <v>-30398.957425894449</v>
      </c>
      <c r="E36" s="442"/>
      <c r="F36" s="399">
        <f t="shared" si="0"/>
        <v>-0.94558137409048015</v>
      </c>
      <c r="G36" s="339" t="s">
        <v>780</v>
      </c>
      <c r="H36" s="340">
        <f>D36/$D$21</f>
        <v>-1.6833389805254471E-2</v>
      </c>
    </row>
    <row r="37" spans="1:10">
      <c r="D37" s="338">
        <f>D36-D5+D14+D25</f>
        <v>-5934.536225894466</v>
      </c>
      <c r="E37" s="341" t="s">
        <v>781</v>
      </c>
      <c r="H37" s="340">
        <f>D37/$D$21</f>
        <v>-3.2862430182816009E-3</v>
      </c>
    </row>
    <row r="39" spans="1:10">
      <c r="D39" s="238"/>
    </row>
    <row r="40" spans="1:10" ht="19.5">
      <c r="B40" s="406" t="s">
        <v>782</v>
      </c>
      <c r="D40" s="238"/>
    </row>
    <row r="42" spans="1:10">
      <c r="B42" s="442" t="s">
        <v>783</v>
      </c>
    </row>
    <row r="43" spans="1:10">
      <c r="B43" s="409" t="s">
        <v>784</v>
      </c>
      <c r="C43" s="410"/>
    </row>
    <row r="44" spans="1:10">
      <c r="B44" s="237" t="s">
        <v>785</v>
      </c>
      <c r="C44" s="238">
        <f>D4-D13-D24</f>
        <v>77505.934098549769</v>
      </c>
    </row>
    <row r="45" spans="1:10">
      <c r="B45" s="237" t="s">
        <v>786</v>
      </c>
      <c r="C45" s="238">
        <f>D5-D14-D25</f>
        <v>-24464.42119999999</v>
      </c>
    </row>
    <row r="46" spans="1:10">
      <c r="B46" s="237" t="s">
        <v>787</v>
      </c>
      <c r="C46" s="238">
        <f>D6-D15-D26</f>
        <v>40683.299444444419</v>
      </c>
    </row>
    <row r="47" spans="1:10" ht="15.75" thickBot="1">
      <c r="B47" s="407" t="s">
        <v>788</v>
      </c>
      <c r="C47" s="408">
        <f>D7-D16-D27</f>
        <v>9956.5999999999767</v>
      </c>
    </row>
    <row r="48" spans="1:10" ht="15.75" thickTop="1">
      <c r="B48" s="237" t="s">
        <v>789</v>
      </c>
      <c r="C48" s="238">
        <f>SUM(C44:C47)</f>
        <v>103681.41234299418</v>
      </c>
      <c r="D48" s="341" t="s">
        <v>790</v>
      </c>
    </row>
    <row r="50" spans="2:4">
      <c r="B50" s="237"/>
      <c r="C50" s="400" t="s">
        <v>791</v>
      </c>
      <c r="D50" s="341"/>
    </row>
    <row r="51" spans="2:4" ht="15.75" thickBot="1">
      <c r="B51" s="407" t="s">
        <v>792</v>
      </c>
      <c r="C51" s="408">
        <f>D9-D18-D30</f>
        <v>24118.010999999999</v>
      </c>
      <c r="D51" s="341" t="s">
        <v>790</v>
      </c>
    </row>
    <row r="52" spans="2:4" ht="15.75" thickTop="1">
      <c r="B52" s="237" t="s">
        <v>793</v>
      </c>
      <c r="C52" s="238">
        <f>C51</f>
        <v>24118.010999999999</v>
      </c>
    </row>
    <row r="54" spans="2:4">
      <c r="B54" s="237" t="s">
        <v>102</v>
      </c>
      <c r="C54" s="400">
        <f>C52+C48</f>
        <v>127799.42334299418</v>
      </c>
    </row>
  </sheetData>
  <pageMargins left="0.7" right="0.7" top="0.75" bottom="0.75" header="0.3" footer="0.3"/>
  <pageSetup scale="62" orientation="landscape" r:id="rId1"/>
  <legacy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1"/>
  </sheetPr>
  <dimension ref="B1:O1"/>
  <sheetViews>
    <sheetView topLeftCell="B1" zoomScale="80" zoomScaleNormal="80" workbookViewId="0">
      <selection activeCell="B1" sqref="B1"/>
    </sheetView>
  </sheetViews>
  <sheetFormatPr defaultRowHeight="15.95" customHeight="1"/>
  <cols>
    <col min="1" max="1" width="9.140625" style="392"/>
    <col min="2" max="2" width="35" style="394" customWidth="1"/>
    <col min="3" max="6" width="9.140625" style="394"/>
    <col min="7" max="13" width="9.140625" style="395"/>
    <col min="14" max="14" width="9.140625" style="392"/>
    <col min="15" max="15" width="9.140625" style="391"/>
    <col min="16" max="16384" width="9.140625" style="392"/>
  </cols>
  <sheetData>
    <row r="1" spans="2:2" ht="15.95" customHeight="1">
      <c r="B1" s="437" t="s">
        <v>794</v>
      </c>
    </row>
  </sheetData>
  <printOptions horizontalCentered="1"/>
  <pageMargins left="0.74803149606299213" right="0.74803149606299213" top="0.23622047244094491" bottom="0.23622047244094491" header="0.31496062992125984" footer="0.27559055118110237"/>
  <pageSetup scale="80" orientation="landscape" r:id="rId1"/>
  <headerFooter alignWithMargins="0">
    <oddHeader xml:space="preserve">&amp;C&amp;"Times New Roman,Bold"&amp;14FEDS USED BOOKS
 BUDGET  MAY  1, 2015 - APRIL 30, 2016
</oddHeader>
  </headerFooter>
  <colBreaks count="1" manualBreakCount="1">
    <brk id="18"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1"/>
  </sheetPr>
  <dimension ref="A1:P1"/>
  <sheetViews>
    <sheetView zoomScale="86" zoomScaleNormal="86" workbookViewId="0">
      <pane xSplit="1" topLeftCell="B1" activePane="topRight" state="frozen"/>
      <selection pane="topRight"/>
      <selection activeCell="B1" sqref="B1"/>
    </sheetView>
  </sheetViews>
  <sheetFormatPr defaultRowHeight="15"/>
  <cols>
    <col min="1" max="1" width="18.42578125" style="397" customWidth="1"/>
    <col min="2" max="2" width="9.140625" style="396"/>
    <col min="3" max="15" width="9.140625" style="397"/>
    <col min="16" max="16" width="9.140625" style="439"/>
    <col min="17" max="16384" width="9.140625" style="397"/>
  </cols>
  <sheetData>
    <row r="1" spans="1:1">
      <c r="A1" s="440" t="s">
        <v>794</v>
      </c>
    </row>
  </sheetData>
  <pageMargins left="0.7" right="0.7" top="0.75" bottom="0.75" header="0.3" footer="0.3"/>
  <pageSetup orientation="portrait" horizontalDpi="4294967294"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1"/>
  </sheetPr>
  <dimension ref="A1"/>
  <sheetViews>
    <sheetView zoomScale="95" zoomScaleNormal="95" workbookViewId="0">
      <selection activeCell="D9" sqref="D9"/>
    </sheetView>
  </sheetViews>
  <sheetFormatPr defaultRowHeight="12.75"/>
  <cols>
    <col min="1" max="1" width="22.28515625" customWidth="1"/>
    <col min="2" max="2" width="9.5703125" customWidth="1"/>
  </cols>
  <sheetData>
    <row r="1" spans="1:1" ht="14.25">
      <c r="A1" s="393" t="s">
        <v>794</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1"/>
  </sheetPr>
  <dimension ref="A1"/>
  <sheetViews>
    <sheetView zoomScale="90" zoomScaleNormal="90" workbookViewId="0"/>
  </sheetViews>
  <sheetFormatPr defaultColWidth="10" defaultRowHeight="12.75"/>
  <cols>
    <col min="1" max="1" width="26.28515625" customWidth="1"/>
    <col min="2" max="2" width="10.140625" customWidth="1"/>
  </cols>
  <sheetData>
    <row r="1" spans="1:1" ht="14.25">
      <c r="A1" s="393" t="s">
        <v>794</v>
      </c>
    </row>
  </sheetData>
  <pageMargins left="0.7" right="0.7" top="0.75" bottom="0.75" header="0.3" footer="0.3"/>
  <pageSetup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1"/>
  </sheetPr>
  <dimension ref="A1"/>
  <sheetViews>
    <sheetView zoomScale="80" zoomScaleNormal="80" workbookViewId="0">
      <selection activeCell="G18" sqref="G18"/>
    </sheetView>
  </sheetViews>
  <sheetFormatPr defaultRowHeight="15"/>
  <cols>
    <col min="1" max="1" width="21.28515625" style="226" customWidth="1"/>
    <col min="2" max="2" width="10.85546875" style="226" customWidth="1"/>
    <col min="3" max="16384" width="9.140625" style="226"/>
  </cols>
  <sheetData>
    <row r="1" spans="1:1">
      <c r="A1" s="438" t="s">
        <v>794</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F0"/>
  </sheetPr>
  <dimension ref="A1"/>
  <sheetViews>
    <sheetView workbookViewId="0">
      <selection activeCell="B6" sqref="B6"/>
    </sheetView>
  </sheetViews>
  <sheetFormatPr defaultColWidth="12.28515625" defaultRowHeight="11.25"/>
  <cols>
    <col min="1" max="16384" width="12.28515625" style="363"/>
  </cols>
  <sheetData>
    <row r="1" spans="1:1">
      <c r="A1" s="364" t="s">
        <v>794</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F0"/>
  </sheetPr>
  <dimension ref="A1"/>
  <sheetViews>
    <sheetView workbookViewId="0">
      <selection activeCell="I28" sqref="I28"/>
    </sheetView>
  </sheetViews>
  <sheetFormatPr defaultRowHeight="15"/>
  <cols>
    <col min="1" max="1" width="21.140625" style="226" customWidth="1"/>
    <col min="2" max="16384" width="9.140625" style="226"/>
  </cols>
  <sheetData>
    <row r="1" spans="1:1">
      <c r="A1" s="237" t="s">
        <v>794</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92D050"/>
  </sheetPr>
  <dimension ref="A1:F26"/>
  <sheetViews>
    <sheetView topLeftCell="A7" zoomScale="120" zoomScaleNormal="120" workbookViewId="0">
      <selection activeCell="F26" sqref="F26"/>
    </sheetView>
  </sheetViews>
  <sheetFormatPr defaultRowHeight="12.75"/>
  <cols>
    <col min="1" max="1" width="59.42578125" customWidth="1"/>
    <col min="2" max="3" width="22.5703125" customWidth="1"/>
    <col min="4" max="4" width="22.140625" customWidth="1"/>
  </cols>
  <sheetData>
    <row r="1" spans="1:6" ht="21">
      <c r="A1" s="235" t="s">
        <v>795</v>
      </c>
      <c r="B1" s="226"/>
      <c r="C1" s="226"/>
      <c r="D1" s="226"/>
    </row>
    <row r="2" spans="1:6" ht="15">
      <c r="A2" s="234" t="s">
        <v>163</v>
      </c>
      <c r="B2" s="233"/>
      <c r="C2" s="233"/>
      <c r="D2" s="226"/>
    </row>
    <row r="3" spans="1:6" ht="15">
      <c r="A3" s="496" t="s">
        <v>628</v>
      </c>
      <c r="B3" s="496" t="s">
        <v>6</v>
      </c>
      <c r="C3" s="496" t="s">
        <v>7</v>
      </c>
      <c r="D3" s="496" t="s">
        <v>8</v>
      </c>
      <c r="F3" s="334" t="s">
        <v>796</v>
      </c>
    </row>
    <row r="4" spans="1:6" ht="15">
      <c r="A4" s="500" t="s">
        <v>797</v>
      </c>
      <c r="B4" s="498">
        <f>MarketingGeneralRevenues[[#Totals],[Budget 18/19]]</f>
        <v>34062</v>
      </c>
      <c r="C4" s="498">
        <f>MarketingGeneralRevenues[[#Totals],[Actuals 18/19]]</f>
        <v>27596.6</v>
      </c>
      <c r="D4" s="499">
        <f>MarketingGeneralRevenues[[#Totals],[Bugdet 19/20]]</f>
        <v>25000</v>
      </c>
      <c r="F4" s="323">
        <f>(D4-B4)/B4</f>
        <v>-0.26604427220950033</v>
      </c>
    </row>
    <row r="5" spans="1:6" ht="15">
      <c r="A5" s="500" t="s">
        <v>798</v>
      </c>
      <c r="B5" s="498">
        <f>CommunicationsRevenues16[[#Totals],[Budget 18/19]]</f>
        <v>0</v>
      </c>
      <c r="C5" s="498">
        <f>CommunicationsRevenues16[[#Totals],[Actual 18/19]]</f>
        <v>0</v>
      </c>
      <c r="D5" s="498">
        <f>CommunicationsRevenues16[[#Totals],[Budget 19/20]]</f>
        <v>0</v>
      </c>
      <c r="F5" s="323"/>
    </row>
    <row r="6" spans="1:6" ht="15">
      <c r="A6" s="500" t="s">
        <v>799</v>
      </c>
      <c r="B6" s="498">
        <f>CommunicationsRevenues100[[#Totals],[Budget 18/19]]</f>
        <v>40000</v>
      </c>
      <c r="C6" s="498">
        <f>CommunicationsRevenues100[[#Totals],[Actual 18/19]]</f>
        <v>46744.39</v>
      </c>
      <c r="D6" s="498">
        <f>CommunicationsRevenues100[[#Totals],[Budget 19/20]]</f>
        <v>40000</v>
      </c>
      <c r="F6" s="323">
        <f t="shared" ref="F6:F11" si="0">(D6-B6)/B6</f>
        <v>0</v>
      </c>
    </row>
    <row r="7" spans="1:6" ht="15">
      <c r="A7" s="500" t="s">
        <v>800</v>
      </c>
      <c r="B7" s="498">
        <f>MarketingAdvocacyRevenues[[#Totals],[Budget 18/19]]</f>
        <v>0</v>
      </c>
      <c r="C7" s="498">
        <f>MarketingAdvocacyRevenues[[#Totals],[Actual 18/19]]</f>
        <v>0</v>
      </c>
      <c r="D7" s="498">
        <f>MarketingAdvocacyRevenues[[#Totals],[Budget 19/20]]</f>
        <v>3240</v>
      </c>
      <c r="F7" s="323">
        <f>100%</f>
        <v>1</v>
      </c>
    </row>
    <row r="8" spans="1:6" ht="15">
      <c r="A8" s="500" t="s">
        <v>801</v>
      </c>
      <c r="B8" s="498">
        <f>MarketingGeneralRevenues7180[[#Totals],[Budget 18/19]]</f>
        <v>0</v>
      </c>
      <c r="C8" s="498">
        <f>MarketingGeneralRevenues7180[[#Totals],[Actual 18/19]]</f>
        <v>0</v>
      </c>
      <c r="D8" s="498">
        <f>MarketingGeneralRevenues7180[[#Totals],[Budget 19/20]]</f>
        <v>0</v>
      </c>
      <c r="F8" s="323"/>
    </row>
    <row r="9" spans="1:6" ht="15">
      <c r="A9" s="500" t="s">
        <v>802</v>
      </c>
      <c r="B9" s="498">
        <f>MarketingGeneralRevenues718014[[#Totals],[Budget 18/19]]</f>
        <v>0</v>
      </c>
      <c r="C9" s="498">
        <f>MarketingGeneralRevenues718014[[#Totals],[Actual 18/19]]</f>
        <v>0</v>
      </c>
      <c r="D9" s="498">
        <f>MarketingGeneralRevenues718014[[#Totals],[Budget 19/20]]</f>
        <v>0</v>
      </c>
      <c r="F9" s="323"/>
    </row>
    <row r="10" spans="1:6" ht="15.75" thickBot="1">
      <c r="A10" s="509" t="s">
        <v>803</v>
      </c>
      <c r="B10" s="231">
        <v>70310</v>
      </c>
      <c r="C10" s="231">
        <v>43851.25</v>
      </c>
      <c r="D10" s="231">
        <v>95305.040000000008</v>
      </c>
      <c r="F10" s="323">
        <f t="shared" si="0"/>
        <v>0.35549765324989346</v>
      </c>
    </row>
    <row r="11" spans="1:6" ht="15.75" thickBot="1">
      <c r="A11" s="333" t="s">
        <v>13</v>
      </c>
      <c r="B11" s="432">
        <f>SUM(B4:B10)</f>
        <v>144372</v>
      </c>
      <c r="C11" s="432">
        <f>SUM(C4:C10)</f>
        <v>118192.23999999999</v>
      </c>
      <c r="D11" s="433">
        <f>SUM(D4:D10)</f>
        <v>163545.04</v>
      </c>
      <c r="F11" s="323">
        <f t="shared" si="0"/>
        <v>0.13280303659989479</v>
      </c>
    </row>
    <row r="13" spans="1:6" ht="15">
      <c r="A13" s="496" t="s">
        <v>42</v>
      </c>
      <c r="B13" s="496" t="s">
        <v>6</v>
      </c>
      <c r="C13" s="496" t="s">
        <v>7</v>
      </c>
      <c r="D13" s="496" t="s">
        <v>8</v>
      </c>
    </row>
    <row r="14" spans="1:6" ht="15">
      <c r="A14" s="500" t="s">
        <v>797</v>
      </c>
      <c r="B14" s="498">
        <f>MarketingGeneralExpenses[[#Totals],[Budget 18/19]]</f>
        <v>190568.2</v>
      </c>
      <c r="C14" s="498">
        <f>MarketingGeneralExpenses[[#Totals],[Actual 18/19]]</f>
        <v>158476.70000000001</v>
      </c>
      <c r="D14" s="499">
        <f>MarketingGeneralExpenses[[#Totals],[Budget 19/20]]</f>
        <v>70095.97</v>
      </c>
      <c r="F14" s="323">
        <f t="shared" ref="F14:F23" si="1">(D14-B14)/B14</f>
        <v>-0.63217383592855469</v>
      </c>
    </row>
    <row r="15" spans="1:6" ht="15">
      <c r="A15" s="500" t="s">
        <v>798</v>
      </c>
      <c r="B15" s="498">
        <f>CommunicationsExpenses17[[#Totals],[Budget 18/19]]</f>
        <v>21265</v>
      </c>
      <c r="C15" s="498">
        <f>CommunicationsExpenses17[[#Totals],[Actual 18/19]]</f>
        <v>20872.93</v>
      </c>
      <c r="D15" s="498">
        <f>CommunicationsExpenses17[[#Totals],[Budget 19/20]]</f>
        <v>28480.5</v>
      </c>
      <c r="F15" s="323">
        <f t="shared" si="1"/>
        <v>0.3393134258170703</v>
      </c>
    </row>
    <row r="16" spans="1:6" ht="15">
      <c r="A16" s="500" t="s">
        <v>799</v>
      </c>
      <c r="B16" s="498">
        <f>CommunicationsExpenses101[[#Totals],[Budget 18/19]]</f>
        <v>41300</v>
      </c>
      <c r="C16" s="498">
        <f>CommunicationsExpenses101[[#Totals],[Actual 18/19]]</f>
        <v>40122.989999999991</v>
      </c>
      <c r="D16" s="498">
        <f>CommunicationsExpenses101[[#Totals],[Budget 19/20]]</f>
        <v>27000</v>
      </c>
      <c r="F16" s="323">
        <f t="shared" si="1"/>
        <v>-0.34624697336561744</v>
      </c>
    </row>
    <row r="17" spans="1:6" ht="15">
      <c r="A17" s="500" t="s">
        <v>800</v>
      </c>
      <c r="B17" s="498">
        <f>MarketingAdvocacyExpenses[[#Totals],[Budget 18/19]]</f>
        <v>8660</v>
      </c>
      <c r="C17" s="498">
        <f>MarketingAdvocacyExpenses[[#Totals],[Actual 18/19]]</f>
        <v>7607.52</v>
      </c>
      <c r="D17" s="498">
        <f>MarketingAdvocacyExpenses[[#Totals],[Budget 19-20]]</f>
        <v>35112.509999999995</v>
      </c>
      <c r="F17" s="323">
        <f t="shared" si="1"/>
        <v>3.0545623556581982</v>
      </c>
    </row>
    <row r="18" spans="1:6" ht="15">
      <c r="A18" s="500" t="s">
        <v>801</v>
      </c>
      <c r="B18" s="498">
        <f>MarketingGeneralExpenses7581[[#Totals],[Budget 18/19]]</f>
        <v>23890</v>
      </c>
      <c r="C18" s="498">
        <f>MarketingGeneralExpenses7581[[#Totals],[Actual 18/19]]</f>
        <v>19032.410000000003</v>
      </c>
      <c r="D18" s="498">
        <f>MarketingGeneralExpenses7581[[#Totals],[Budget 19/20]]</f>
        <v>55046.720000000001</v>
      </c>
      <c r="F18" s="323">
        <f t="shared" si="1"/>
        <v>1.3041741314357471</v>
      </c>
    </row>
    <row r="19" spans="1:6" ht="15">
      <c r="A19" s="500" t="s">
        <v>802</v>
      </c>
      <c r="B19" s="498">
        <f>MarketingGeneralExpenses758115[[#Totals],[Budget 18/19]]</f>
        <v>10340</v>
      </c>
      <c r="C19" s="498">
        <f>MarketingGeneralExpenses758115[[#Totals],[Actual 18/19]]</f>
        <v>5122.2900000000009</v>
      </c>
      <c r="D19" s="498">
        <f>MarketingGeneralExpenses758115[[#Totals],[Budget 19/20]]</f>
        <v>34291.509999999995</v>
      </c>
      <c r="F19" s="323">
        <f t="shared" si="1"/>
        <v>2.316393617021276</v>
      </c>
    </row>
    <row r="20" spans="1:6" ht="15.75" thickBot="1">
      <c r="A20" s="509" t="s">
        <v>803</v>
      </c>
      <c r="B20" s="231">
        <v>70310</v>
      </c>
      <c r="C20" s="231">
        <v>33059.240000000005</v>
      </c>
      <c r="D20" s="231">
        <v>95305.040000000008</v>
      </c>
      <c r="F20" s="323">
        <f t="shared" si="1"/>
        <v>0.35549765324989346</v>
      </c>
    </row>
    <row r="21" spans="1:6" ht="15.75" thickBot="1">
      <c r="A21" s="333" t="s">
        <v>13</v>
      </c>
      <c r="B21" s="432">
        <f>SUM(B14:B20)</f>
        <v>366333.2</v>
      </c>
      <c r="C21" s="432">
        <f>SUM(C14:C20)</f>
        <v>284294.08</v>
      </c>
      <c r="D21" s="433">
        <f>SUM(D14:D20)</f>
        <v>345332.25</v>
      </c>
      <c r="F21" s="323">
        <f t="shared" si="1"/>
        <v>-5.7327454896252947E-2</v>
      </c>
    </row>
    <row r="22" spans="1:6" ht="15.75" thickBot="1">
      <c r="A22" s="226"/>
      <c r="B22" s="230"/>
      <c r="C22" s="230"/>
      <c r="D22" s="230"/>
      <c r="F22" s="323"/>
    </row>
    <row r="23" spans="1:6" ht="15.75" thickBot="1">
      <c r="A23" s="229" t="s">
        <v>44</v>
      </c>
      <c r="B23" s="228">
        <f>B11-B21</f>
        <v>-221961.2</v>
      </c>
      <c r="C23" s="228">
        <f>C11-C21</f>
        <v>-166101.84000000003</v>
      </c>
      <c r="D23" s="227">
        <f>D11-D21</f>
        <v>-181787.21</v>
      </c>
      <c r="F23" s="323">
        <f t="shared" si="1"/>
        <v>-0.18099555237582071</v>
      </c>
    </row>
    <row r="26" spans="1:6">
      <c r="A26" s="12"/>
    </row>
  </sheetData>
  <pageMargins left="0.7" right="0.7" top="0.75" bottom="0.75" header="0.3" footer="0.3"/>
  <pageSetup orientation="portrait" r:id="rId1"/>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92D050"/>
    <pageSetUpPr fitToPage="1"/>
  </sheetPr>
  <dimension ref="A1:P36"/>
  <sheetViews>
    <sheetView zoomScale="110" zoomScaleNormal="110" workbookViewId="0">
      <selection activeCell="M5" sqref="M5"/>
    </sheetView>
  </sheetViews>
  <sheetFormatPr defaultColWidth="10" defaultRowHeight="12.75"/>
  <cols>
    <col min="1" max="1" width="12" style="239" bestFit="1" customWidth="1"/>
    <col min="2" max="2" width="48.28515625" style="239" customWidth="1"/>
    <col min="3" max="3" width="13.28515625" style="239" hidden="1" customWidth="1"/>
    <col min="4" max="7" width="14.140625" style="239" hidden="1" customWidth="1"/>
    <col min="8" max="10" width="15.85546875" style="239" hidden="1" customWidth="1"/>
    <col min="11" max="12" width="14.140625" style="239" hidden="1" customWidth="1"/>
    <col min="13" max="13" width="14.140625" style="239" bestFit="1" customWidth="1"/>
    <col min="14" max="15" width="15.85546875" style="239" bestFit="1" customWidth="1"/>
    <col min="16" max="16" width="17.7109375" style="239" bestFit="1" customWidth="1"/>
    <col min="17" max="16384" width="10" style="239"/>
  </cols>
  <sheetData>
    <row r="1" spans="1:16" ht="21">
      <c r="B1" s="235" t="s">
        <v>804</v>
      </c>
    </row>
    <row r="2" spans="1:16" ht="15">
      <c r="B2" s="234" t="s">
        <v>805</v>
      </c>
    </row>
    <row r="3" spans="1:16">
      <c r="B3" s="239" t="s">
        <v>47</v>
      </c>
      <c r="C3" s="510" t="s">
        <v>52</v>
      </c>
      <c r="D3" s="510" t="s">
        <v>54</v>
      </c>
      <c r="E3" s="510" t="s">
        <v>56</v>
      </c>
      <c r="F3" s="510" t="s">
        <v>104</v>
      </c>
      <c r="G3" s="510" t="s">
        <v>29</v>
      </c>
      <c r="H3" s="510" t="s">
        <v>30</v>
      </c>
      <c r="I3" s="511" t="s">
        <v>31</v>
      </c>
      <c r="J3" s="253" t="s">
        <v>32</v>
      </c>
      <c r="K3" s="252" t="s">
        <v>33</v>
      </c>
      <c r="L3" s="253" t="s">
        <v>34</v>
      </c>
      <c r="M3" s="252" t="s">
        <v>6</v>
      </c>
      <c r="N3" s="252" t="s">
        <v>767</v>
      </c>
      <c r="O3" s="236" t="s">
        <v>806</v>
      </c>
      <c r="P3" s="236" t="s">
        <v>807</v>
      </c>
    </row>
    <row r="4" spans="1:16">
      <c r="A4" s="239" t="s">
        <v>808</v>
      </c>
      <c r="B4" s="239" t="s">
        <v>289</v>
      </c>
      <c r="C4" s="17">
        <v>0</v>
      </c>
      <c r="D4" s="17">
        <v>0</v>
      </c>
      <c r="E4" s="17">
        <v>0</v>
      </c>
      <c r="F4" s="254">
        <v>3472.19</v>
      </c>
      <c r="G4" s="17">
        <v>0</v>
      </c>
      <c r="H4" s="17">
        <v>0</v>
      </c>
      <c r="I4" s="17">
        <v>0</v>
      </c>
      <c r="J4" s="189"/>
      <c r="K4" s="189">
        <v>10000</v>
      </c>
      <c r="L4" s="189">
        <v>6887.43</v>
      </c>
      <c r="M4" s="189">
        <v>7000</v>
      </c>
      <c r="N4" s="189">
        <v>15961.8</v>
      </c>
      <c r="O4" s="248">
        <v>12000</v>
      </c>
      <c r="P4" s="189"/>
    </row>
    <row r="5" spans="1:16">
      <c r="A5" s="239" t="s">
        <v>809</v>
      </c>
      <c r="B5" s="239" t="s">
        <v>810</v>
      </c>
      <c r="C5" s="17">
        <v>37000</v>
      </c>
      <c r="D5" s="17">
        <v>50000</v>
      </c>
      <c r="E5" s="17">
        <v>46000</v>
      </c>
      <c r="F5" s="17">
        <v>43042.12</v>
      </c>
      <c r="G5" s="17">
        <v>0</v>
      </c>
      <c r="H5" s="17">
        <v>1052.3800000000001</v>
      </c>
      <c r="I5" s="17">
        <v>13167.4</v>
      </c>
      <c r="J5" s="189">
        <v>14314.13</v>
      </c>
      <c r="K5" s="189">
        <v>14000</v>
      </c>
      <c r="L5" s="189">
        <v>13217</v>
      </c>
      <c r="M5" s="189">
        <v>14062</v>
      </c>
      <c r="N5" s="189"/>
      <c r="O5" s="248"/>
      <c r="P5" s="189"/>
    </row>
    <row r="6" spans="1:16">
      <c r="A6" s="239" t="s">
        <v>811</v>
      </c>
      <c r="B6" s="239" t="s">
        <v>812</v>
      </c>
      <c r="C6" s="17">
        <v>9500</v>
      </c>
      <c r="D6" s="17">
        <v>9500</v>
      </c>
      <c r="E6" s="17">
        <v>9500</v>
      </c>
      <c r="F6" s="17">
        <v>12467.1</v>
      </c>
      <c r="G6" s="17">
        <v>12500</v>
      </c>
      <c r="H6" s="17">
        <v>14772.42</v>
      </c>
      <c r="I6" s="17">
        <v>10000</v>
      </c>
      <c r="J6" s="189">
        <v>10889.91</v>
      </c>
      <c r="K6" s="189">
        <v>10000</v>
      </c>
      <c r="L6" s="189">
        <v>12976.73</v>
      </c>
      <c r="M6" s="189">
        <v>13000</v>
      </c>
      <c r="N6" s="189">
        <v>11634.8</v>
      </c>
      <c r="O6" s="248">
        <v>13000</v>
      </c>
      <c r="P6" s="189"/>
    </row>
    <row r="7" spans="1:16">
      <c r="B7" s="12" t="s">
        <v>13</v>
      </c>
      <c r="C7" s="16">
        <f>SUBTOTAL(109,MarketingGeneralRevenues[Budget 12/13])</f>
        <v>46500</v>
      </c>
      <c r="D7" s="16">
        <f>SUBTOTAL(109,MarketingGeneralRevenues[Budget 13/14])</f>
        <v>59500</v>
      </c>
      <c r="E7" s="16">
        <f>SUBTOTAL(109,MarketingGeneralRevenues[Budget 14/15])</f>
        <v>55500</v>
      </c>
      <c r="F7" s="16">
        <f>SUBTOTAL(109,MarketingGeneralRevenues[Actual 14/15])</f>
        <v>58981.41</v>
      </c>
      <c r="G7" s="16">
        <f>SUBTOTAL(109,MarketingGeneralRevenues[Budget 15/16])</f>
        <v>12500</v>
      </c>
      <c r="H7" s="16">
        <f>SUBTOTAL(109,MarketingGeneralRevenues[Actual 15/16])</f>
        <v>15824.8</v>
      </c>
      <c r="I7" s="16">
        <f>SUBTOTAL(109,MarketingGeneralRevenues[Budget 16/17])</f>
        <v>23167.4</v>
      </c>
      <c r="J7" s="16">
        <f>SUBTOTAL(109,MarketingGeneralRevenues[Actual 16/17])</f>
        <v>25204.04</v>
      </c>
      <c r="K7" s="16">
        <f>SUBTOTAL(109,MarketingGeneralRevenues[Budget 17/18])</f>
        <v>34000</v>
      </c>
      <c r="L7" s="16">
        <f>SUM(L4:L6)</f>
        <v>33081.160000000003</v>
      </c>
      <c r="M7" s="16">
        <f>SUBTOTAL(109,MarketingGeneralRevenues[Budget 18/19])</f>
        <v>34062</v>
      </c>
      <c r="N7" s="16">
        <f>SUBTOTAL(109,MarketingGeneralRevenues[Actuals 18/19])</f>
        <v>27596.6</v>
      </c>
      <c r="O7" s="20">
        <f>O4+O5+O6</f>
        <v>25000</v>
      </c>
      <c r="P7" s="16"/>
    </row>
    <row r="9" spans="1:16">
      <c r="B9" s="239" t="s">
        <v>61</v>
      </c>
      <c r="C9" s="510" t="s">
        <v>52</v>
      </c>
      <c r="D9" s="510" t="s">
        <v>54</v>
      </c>
      <c r="E9" s="510" t="s">
        <v>56</v>
      </c>
      <c r="F9" s="510" t="s">
        <v>104</v>
      </c>
      <c r="G9" s="510" t="s">
        <v>29</v>
      </c>
      <c r="H9" s="510" t="s">
        <v>30</v>
      </c>
      <c r="I9" s="511" t="s">
        <v>31</v>
      </c>
      <c r="J9" s="253" t="s">
        <v>32</v>
      </c>
      <c r="K9" s="252" t="s">
        <v>33</v>
      </c>
      <c r="L9" s="253" t="s">
        <v>34</v>
      </c>
      <c r="M9" s="252" t="s">
        <v>6</v>
      </c>
      <c r="N9" s="252" t="s">
        <v>7</v>
      </c>
      <c r="O9" s="236" t="s">
        <v>8</v>
      </c>
      <c r="P9" s="236"/>
    </row>
    <row r="10" spans="1:16">
      <c r="A10" s="239" t="s">
        <v>813</v>
      </c>
      <c r="B10" s="239" t="s">
        <v>814</v>
      </c>
      <c r="C10" s="17">
        <v>62000</v>
      </c>
      <c r="D10" s="17">
        <v>70000</v>
      </c>
      <c r="E10" s="17">
        <v>92500</v>
      </c>
      <c r="F10" s="17">
        <v>128871.03</v>
      </c>
      <c r="G10" s="17">
        <v>95000</v>
      </c>
      <c r="H10" s="17">
        <v>90305.12</v>
      </c>
      <c r="I10" s="17">
        <v>130000</v>
      </c>
      <c r="J10" s="189">
        <v>134942.42000000001</v>
      </c>
      <c r="K10" s="189">
        <v>138000</v>
      </c>
      <c r="L10" s="189">
        <v>140778.51</v>
      </c>
      <c r="M10" s="249">
        <v>164588</v>
      </c>
      <c r="N10" s="249">
        <v>146286.07</v>
      </c>
      <c r="O10" s="248">
        <v>36455.97</v>
      </c>
      <c r="P10" s="512"/>
    </row>
    <row r="11" spans="1:16">
      <c r="A11" s="239" t="s">
        <v>815</v>
      </c>
      <c r="B11" s="239" t="s">
        <v>70</v>
      </c>
      <c r="C11" s="17">
        <v>1200</v>
      </c>
      <c r="D11" s="17">
        <v>1200</v>
      </c>
      <c r="E11" s="17">
        <v>1200</v>
      </c>
      <c r="F11" s="17">
        <v>1320.23</v>
      </c>
      <c r="G11" s="17">
        <v>600</v>
      </c>
      <c r="H11" s="17">
        <v>1321.31</v>
      </c>
      <c r="I11" s="17">
        <v>300</v>
      </c>
      <c r="J11" s="189">
        <v>1614.89</v>
      </c>
      <c r="K11" s="189">
        <v>300</v>
      </c>
      <c r="L11" s="189">
        <v>697.1</v>
      </c>
      <c r="M11" s="251">
        <v>600</v>
      </c>
      <c r="N11" s="251">
        <v>683.9</v>
      </c>
      <c r="O11" s="248">
        <v>300</v>
      </c>
      <c r="P11" s="512"/>
    </row>
    <row r="12" spans="1:16" ht="13.5" customHeight="1">
      <c r="A12" s="239" t="s">
        <v>816</v>
      </c>
      <c r="B12" s="239" t="s">
        <v>72</v>
      </c>
      <c r="C12" s="17"/>
      <c r="D12" s="17"/>
      <c r="E12" s="17">
        <v>0</v>
      </c>
      <c r="F12" s="17"/>
      <c r="G12" s="17">
        <v>0</v>
      </c>
      <c r="H12" s="17">
        <v>801.4</v>
      </c>
      <c r="I12" s="17">
        <v>720</v>
      </c>
      <c r="J12" s="189">
        <v>720</v>
      </c>
      <c r="K12" s="189">
        <v>720</v>
      </c>
      <c r="L12" s="189">
        <v>300.35000000000002</v>
      </c>
      <c r="M12" s="249">
        <f>70*12</f>
        <v>840</v>
      </c>
      <c r="N12" s="249">
        <v>829.15</v>
      </c>
      <c r="O12" s="248">
        <v>840</v>
      </c>
      <c r="P12" s="512"/>
    </row>
    <row r="13" spans="1:16">
      <c r="B13" s="239" t="s">
        <v>74</v>
      </c>
      <c r="C13" s="17">
        <v>0</v>
      </c>
      <c r="D13" s="17">
        <v>0</v>
      </c>
      <c r="E13" s="17">
        <v>0</v>
      </c>
      <c r="F13" s="17">
        <v>0</v>
      </c>
      <c r="G13" s="17">
        <v>0</v>
      </c>
      <c r="H13" s="17">
        <v>0</v>
      </c>
      <c r="I13" s="17">
        <v>0</v>
      </c>
      <c r="J13" s="189"/>
      <c r="K13" s="189"/>
      <c r="L13" s="189"/>
      <c r="M13" s="249"/>
      <c r="N13" s="249"/>
      <c r="O13" s="248"/>
      <c r="P13" s="512"/>
    </row>
    <row r="14" spans="1:16">
      <c r="A14" s="239" t="s">
        <v>817</v>
      </c>
      <c r="B14" s="239" t="s">
        <v>77</v>
      </c>
      <c r="C14" s="17">
        <v>350</v>
      </c>
      <c r="D14" s="17">
        <v>350</v>
      </c>
      <c r="E14" s="17">
        <v>350</v>
      </c>
      <c r="F14" s="17">
        <v>-6513.57</v>
      </c>
      <c r="G14" s="17">
        <v>116.67</v>
      </c>
      <c r="H14" s="17">
        <v>2474.65</v>
      </c>
      <c r="I14" s="17">
        <v>100</v>
      </c>
      <c r="J14" s="189"/>
      <c r="K14" s="189">
        <v>100</v>
      </c>
      <c r="L14" s="189">
        <v>1856.97</v>
      </c>
      <c r="M14" s="249">
        <v>100</v>
      </c>
      <c r="N14" s="249">
        <v>-3108.24</v>
      </c>
      <c r="O14" s="248">
        <v>100</v>
      </c>
      <c r="P14" s="512"/>
    </row>
    <row r="15" spans="1:16">
      <c r="A15" s="239" t="s">
        <v>818</v>
      </c>
      <c r="B15" s="239" t="s">
        <v>197</v>
      </c>
      <c r="C15" s="17">
        <v>8000</v>
      </c>
      <c r="D15" s="17">
        <v>5000</v>
      </c>
      <c r="E15" s="17">
        <v>5000</v>
      </c>
      <c r="F15" s="17">
        <v>7635.32</v>
      </c>
      <c r="G15" s="17">
        <v>5000</v>
      </c>
      <c r="H15" s="17">
        <v>3929.49</v>
      </c>
      <c r="I15" s="17">
        <v>4000</v>
      </c>
      <c r="J15" s="189">
        <v>1006.99</v>
      </c>
      <c r="K15" s="189">
        <v>4000</v>
      </c>
      <c r="L15" s="189">
        <v>1756.42</v>
      </c>
      <c r="M15" s="249">
        <v>3000</v>
      </c>
      <c r="N15" s="249">
        <v>-374.87</v>
      </c>
      <c r="O15" s="248">
        <v>1000</v>
      </c>
      <c r="P15" s="512"/>
    </row>
    <row r="16" spans="1:16">
      <c r="A16" s="239" t="s">
        <v>819</v>
      </c>
      <c r="B16" s="239" t="s">
        <v>820</v>
      </c>
      <c r="C16" s="17">
        <v>5000</v>
      </c>
      <c r="D16" s="17">
        <v>3500</v>
      </c>
      <c r="E16" s="17">
        <v>3000</v>
      </c>
      <c r="F16" s="17">
        <v>2368.96</v>
      </c>
      <c r="G16" s="17">
        <v>1000</v>
      </c>
      <c r="H16" s="17">
        <v>2399.84</v>
      </c>
      <c r="I16" s="17">
        <v>1000</v>
      </c>
      <c r="J16" s="189">
        <v>1851.68</v>
      </c>
      <c r="K16" s="189">
        <v>2000</v>
      </c>
      <c r="L16" s="189">
        <v>2721.72</v>
      </c>
      <c r="M16" s="249">
        <v>2500</v>
      </c>
      <c r="N16" s="249">
        <f>2470.26+15.88</f>
        <v>2486.1400000000003</v>
      </c>
      <c r="O16" s="248">
        <v>1500</v>
      </c>
      <c r="P16" s="512"/>
    </row>
    <row r="17" spans="1:16">
      <c r="A17" s="239" t="s">
        <v>821</v>
      </c>
      <c r="B17" s="239" t="s">
        <v>757</v>
      </c>
      <c r="C17" s="17">
        <v>1000</v>
      </c>
      <c r="D17" s="17">
        <v>1000</v>
      </c>
      <c r="E17" s="17">
        <v>1000</v>
      </c>
      <c r="F17" s="17">
        <v>1257.81</v>
      </c>
      <c r="G17" s="17">
        <v>900</v>
      </c>
      <c r="H17" s="17">
        <v>205.67</v>
      </c>
      <c r="I17" s="17">
        <v>500</v>
      </c>
      <c r="J17" s="189">
        <v>213.73</v>
      </c>
      <c r="K17" s="189">
        <v>1000</v>
      </c>
      <c r="L17" s="189">
        <v>200.57</v>
      </c>
      <c r="M17" s="249">
        <v>500</v>
      </c>
      <c r="N17" s="249">
        <f>1259.85+44.34</f>
        <v>1304.1899999999998</v>
      </c>
      <c r="O17" s="248">
        <v>200</v>
      </c>
      <c r="P17" s="512"/>
    </row>
    <row r="18" spans="1:16">
      <c r="A18" s="239" t="s">
        <v>822</v>
      </c>
      <c r="B18" s="239" t="s">
        <v>823</v>
      </c>
      <c r="C18" s="17">
        <v>3000</v>
      </c>
      <c r="D18" s="17">
        <v>10000</v>
      </c>
      <c r="E18" s="17">
        <v>5000</v>
      </c>
      <c r="F18" s="17">
        <v>7395.62</v>
      </c>
      <c r="G18" s="17">
        <v>8000</v>
      </c>
      <c r="H18" s="17">
        <v>3791.97</v>
      </c>
      <c r="I18" s="17">
        <v>10000</v>
      </c>
      <c r="J18" s="189">
        <v>11287.55</v>
      </c>
      <c r="K18" s="189">
        <v>8000</v>
      </c>
      <c r="L18" s="189">
        <v>5138.8999999999996</v>
      </c>
      <c r="M18" s="249">
        <v>6000</v>
      </c>
      <c r="N18" s="249">
        <v>1403.6</v>
      </c>
      <c r="O18" s="248">
        <v>9700</v>
      </c>
      <c r="P18" s="512"/>
    </row>
    <row r="19" spans="1:16">
      <c r="A19" s="239" t="s">
        <v>824</v>
      </c>
      <c r="B19" s="239" t="s">
        <v>825</v>
      </c>
      <c r="C19" s="17">
        <v>2000</v>
      </c>
      <c r="D19" s="17">
        <v>3000</v>
      </c>
      <c r="E19" s="17">
        <v>2000</v>
      </c>
      <c r="F19" s="17">
        <v>1394.2</v>
      </c>
      <c r="G19" s="17">
        <v>3500</v>
      </c>
      <c r="H19" s="17">
        <v>1222.6300000000001</v>
      </c>
      <c r="I19" s="17">
        <v>2800</v>
      </c>
      <c r="J19" s="189">
        <v>3188.79</v>
      </c>
      <c r="K19" s="189">
        <v>3500</v>
      </c>
      <c r="L19" s="189">
        <v>1648.9</v>
      </c>
      <c r="M19" s="249">
        <v>2000</v>
      </c>
      <c r="N19" s="249">
        <v>1496.3</v>
      </c>
      <c r="O19" s="248">
        <v>3000</v>
      </c>
      <c r="P19" s="512"/>
    </row>
    <row r="20" spans="1:16">
      <c r="A20" s="239" t="s">
        <v>826</v>
      </c>
      <c r="B20" s="239" t="s">
        <v>289</v>
      </c>
      <c r="C20" s="17">
        <v>9000</v>
      </c>
      <c r="D20" s="17">
        <v>15000</v>
      </c>
      <c r="E20" s="17">
        <v>13000</v>
      </c>
      <c r="F20" s="17">
        <v>14433.95</v>
      </c>
      <c r="G20" s="17">
        <v>13500</v>
      </c>
      <c r="H20" s="17">
        <v>9182.73</v>
      </c>
      <c r="I20" s="250">
        <v>10000</v>
      </c>
      <c r="J20" s="189">
        <v>2179.6</v>
      </c>
      <c r="K20" s="189">
        <v>8000</v>
      </c>
      <c r="L20" s="189">
        <v>3157.24</v>
      </c>
      <c r="M20" s="249">
        <v>5000</v>
      </c>
      <c r="N20" s="249">
        <v>6554.88</v>
      </c>
      <c r="O20" s="248">
        <v>14000</v>
      </c>
      <c r="P20" s="512"/>
    </row>
    <row r="21" spans="1:16">
      <c r="B21" s="239" t="s">
        <v>827</v>
      </c>
      <c r="C21" s="17">
        <v>11000</v>
      </c>
      <c r="D21" s="17">
        <v>10000</v>
      </c>
      <c r="E21" s="17">
        <v>12000</v>
      </c>
      <c r="F21" s="17">
        <v>8458.08</v>
      </c>
      <c r="G21" s="17"/>
      <c r="H21" s="17">
        <v>0</v>
      </c>
      <c r="I21" s="17"/>
      <c r="J21" s="189"/>
      <c r="K21" s="189"/>
      <c r="L21" s="189"/>
      <c r="M21" s="249"/>
      <c r="N21" s="249"/>
      <c r="O21" s="248"/>
      <c r="P21" s="512"/>
    </row>
    <row r="22" spans="1:16">
      <c r="B22" s="239" t="s">
        <v>828</v>
      </c>
      <c r="C22" s="17"/>
      <c r="D22" s="17"/>
      <c r="E22" s="17">
        <v>5600</v>
      </c>
      <c r="F22" s="17"/>
      <c r="G22" s="17"/>
      <c r="H22" s="17">
        <v>0</v>
      </c>
      <c r="I22" s="17"/>
      <c r="J22" s="189"/>
      <c r="K22" s="189"/>
      <c r="L22" s="189"/>
      <c r="M22" s="249"/>
      <c r="N22" s="249"/>
      <c r="O22" s="248"/>
      <c r="P22" s="512"/>
    </row>
    <row r="23" spans="1:16">
      <c r="B23" s="239" t="s">
        <v>829</v>
      </c>
      <c r="C23" s="17">
        <v>30000</v>
      </c>
      <c r="D23" s="17">
        <v>37000</v>
      </c>
      <c r="E23" s="17">
        <v>35000</v>
      </c>
      <c r="F23" s="17">
        <v>43625.95</v>
      </c>
      <c r="G23" s="17"/>
      <c r="H23" s="17">
        <v>0</v>
      </c>
      <c r="I23" s="17"/>
      <c r="J23" s="189"/>
      <c r="K23" s="189"/>
      <c r="L23" s="189"/>
      <c r="M23" s="249"/>
      <c r="N23" s="249">
        <v>17.11</v>
      </c>
      <c r="O23" s="248"/>
      <c r="P23" s="512"/>
    </row>
    <row r="24" spans="1:16">
      <c r="B24" s="239" t="s">
        <v>830</v>
      </c>
      <c r="C24" s="17">
        <v>12000</v>
      </c>
      <c r="D24" s="17">
        <v>14000</v>
      </c>
      <c r="E24" s="17">
        <v>18000</v>
      </c>
      <c r="F24" s="17">
        <v>18686.68</v>
      </c>
      <c r="G24" s="17"/>
      <c r="H24" s="17">
        <v>0</v>
      </c>
      <c r="I24" s="17"/>
      <c r="J24" s="189"/>
      <c r="K24" s="189"/>
      <c r="L24" s="189"/>
      <c r="M24" s="249"/>
      <c r="N24" s="249"/>
      <c r="O24" s="248"/>
      <c r="P24" s="512"/>
    </row>
    <row r="25" spans="1:16">
      <c r="A25" s="239" t="s">
        <v>831</v>
      </c>
      <c r="B25" s="239" t="s">
        <v>247</v>
      </c>
      <c r="C25" s="17">
        <v>1500</v>
      </c>
      <c r="D25" s="17">
        <v>1500</v>
      </c>
      <c r="E25" s="17">
        <v>1750</v>
      </c>
      <c r="F25" s="17">
        <v>2168.5500000000002</v>
      </c>
      <c r="G25" s="17">
        <v>1200</v>
      </c>
      <c r="H25" s="17">
        <v>1029.97</v>
      </c>
      <c r="I25" s="17">
        <v>1200</v>
      </c>
      <c r="J25" s="189">
        <v>2050.09</v>
      </c>
      <c r="K25" s="189">
        <v>1200</v>
      </c>
      <c r="L25" s="189">
        <v>1253.67</v>
      </c>
      <c r="M25" s="249">
        <v>3000</v>
      </c>
      <c r="N25" s="249">
        <v>767.58</v>
      </c>
      <c r="O25" s="248">
        <v>2000</v>
      </c>
      <c r="P25" s="512"/>
    </row>
    <row r="26" spans="1:16">
      <c r="B26" s="239" t="s">
        <v>220</v>
      </c>
      <c r="C26" s="17">
        <v>922.13</v>
      </c>
      <c r="D26" s="17">
        <v>922.13</v>
      </c>
      <c r="E26" s="17">
        <v>922.13</v>
      </c>
      <c r="F26" s="17">
        <v>311.89999999999998</v>
      </c>
      <c r="G26" s="17">
        <v>0</v>
      </c>
      <c r="H26" s="17">
        <v>176</v>
      </c>
      <c r="I26" s="17">
        <v>0</v>
      </c>
      <c r="J26" s="189"/>
      <c r="K26" s="189"/>
      <c r="L26" s="189"/>
      <c r="M26" s="249"/>
      <c r="N26" s="249">
        <v>48.47</v>
      </c>
      <c r="O26" s="248"/>
      <c r="P26" s="512"/>
    </row>
    <row r="27" spans="1:16">
      <c r="A27" s="239" t="s">
        <v>832</v>
      </c>
      <c r="B27" s="239" t="s">
        <v>89</v>
      </c>
      <c r="C27" s="17">
        <v>5000</v>
      </c>
      <c r="D27" s="17">
        <v>2500</v>
      </c>
      <c r="E27" s="17">
        <v>4500</v>
      </c>
      <c r="F27" s="17">
        <v>2139.42</v>
      </c>
      <c r="G27" s="17">
        <v>2500</v>
      </c>
      <c r="H27" s="17">
        <v>0</v>
      </c>
      <c r="I27" s="17">
        <v>1500</v>
      </c>
      <c r="J27" s="189">
        <v>162.24</v>
      </c>
      <c r="K27" s="189">
        <v>1500</v>
      </c>
      <c r="L27" s="189">
        <f>1485.74+37.8</f>
        <v>1523.54</v>
      </c>
      <c r="M27" s="249">
        <v>1500</v>
      </c>
      <c r="N27" s="249"/>
      <c r="O27" s="248">
        <v>1000</v>
      </c>
      <c r="P27" s="512"/>
    </row>
    <row r="28" spans="1:16">
      <c r="A28" s="239" t="s">
        <v>833</v>
      </c>
      <c r="B28" s="239" t="s">
        <v>87</v>
      </c>
      <c r="C28" s="17">
        <v>1005.96</v>
      </c>
      <c r="D28" s="17">
        <v>1346.64</v>
      </c>
      <c r="E28" s="17">
        <v>1558.44</v>
      </c>
      <c r="F28" s="17">
        <v>2178.94</v>
      </c>
      <c r="G28" s="17">
        <v>2555.1999999999998</v>
      </c>
      <c r="H28" s="17">
        <v>2674.77</v>
      </c>
      <c r="I28" s="17">
        <f>12*190</f>
        <v>2280</v>
      </c>
      <c r="J28" s="189">
        <v>2278.92</v>
      </c>
      <c r="K28" s="189"/>
      <c r="L28" s="189">
        <v>1288.2</v>
      </c>
      <c r="M28" s="249">
        <v>940.2</v>
      </c>
      <c r="N28" s="249">
        <v>82.42</v>
      </c>
      <c r="O28" s="248"/>
      <c r="P28" s="512"/>
    </row>
    <row r="29" spans="1:16" ht="13.5" thickBot="1">
      <c r="B29" s="239" t="s">
        <v>834</v>
      </c>
      <c r="C29" s="17"/>
      <c r="D29" s="17"/>
      <c r="E29" s="17"/>
      <c r="F29" s="17"/>
      <c r="G29" s="17"/>
      <c r="H29" s="17"/>
      <c r="I29" s="17"/>
      <c r="J29" s="189"/>
      <c r="K29" s="189"/>
      <c r="L29" s="189">
        <v>511.9</v>
      </c>
      <c r="M29" s="249"/>
      <c r="N29" s="249"/>
      <c r="O29" s="248"/>
      <c r="P29" s="512"/>
    </row>
    <row r="30" spans="1:16" ht="13.5" thickBot="1">
      <c r="B30" s="12" t="s">
        <v>13</v>
      </c>
      <c r="C30" s="16">
        <f>SUBTOTAL(109,MarketingGeneralExpenses[Budget 12/13])</f>
        <v>152978.09</v>
      </c>
      <c r="D30" s="16">
        <f>SUBTOTAL(109,MarketingGeneralExpenses[Budget 13/14])</f>
        <v>176318.77000000002</v>
      </c>
      <c r="E30" s="16">
        <f>SUBTOTAL(109,MarketingGeneralExpenses[Budget 14/15])</f>
        <v>202380.57</v>
      </c>
      <c r="F30" s="16">
        <f>SUBTOTAL(109,MarketingGeneralExpenses[Actual 14/15])</f>
        <v>235733.07</v>
      </c>
      <c r="G30" s="16">
        <f>SUBTOTAL(109,MarketingGeneralExpenses[Budget 15/16])</f>
        <v>133871.87</v>
      </c>
      <c r="H30" s="16">
        <f>SUBTOTAL(109,MarketingGeneralExpenses[Actual 15/16])</f>
        <v>119515.54999999999</v>
      </c>
      <c r="I30" s="16">
        <f>SUBTOTAL(109,MarketingGeneralExpenses[Budget 16/17])</f>
        <v>164400</v>
      </c>
      <c r="J30" s="16">
        <f>SUBTOTAL(109,MarketingGeneralExpenses[Actual 16/17])</f>
        <v>161496.90000000002</v>
      </c>
      <c r="K30" s="16">
        <f>SUBTOTAL(109,MarketingGeneralExpenses[Budget 17/18])</f>
        <v>168320</v>
      </c>
      <c r="L30" s="16">
        <f>SUBTOTAL(109,MarketingGeneralExpenses[Actual 17/18])</f>
        <v>162833.99000000005</v>
      </c>
      <c r="M30" s="411">
        <f>SUBTOTAL(109,MarketingGeneralExpenses[Budget 18/19])</f>
        <v>190568.2</v>
      </c>
      <c r="N30" s="411">
        <f>SUBTOTAL(109,MarketingGeneralExpenses[Actual 18/19])</f>
        <v>158476.70000000001</v>
      </c>
      <c r="O30" s="411">
        <f>SUM(O10:O29)</f>
        <v>70095.97</v>
      </c>
      <c r="P30" s="245"/>
    </row>
    <row r="31" spans="1:16" ht="19.5" thickBot="1">
      <c r="B31" s="513" t="s">
        <v>102</v>
      </c>
      <c r="C31" s="244">
        <f>(MarketingGeneralRevenues[[#Totals],[Budget 12/13]]) -MarketingGeneralExpenses[[#Totals],[Budget 12/13]]</f>
        <v>-106478.09</v>
      </c>
      <c r="D31" s="244">
        <f>(MarketingGeneralRevenues[[#Totals],[Budget 13/14]]) -MarketingGeneralExpenses[[#Totals],[Budget 13/14]]</f>
        <v>-116818.77000000002</v>
      </c>
      <c r="E31" s="244">
        <f>(MarketingGeneralRevenues[[#Totals],[Budget 14/15]]) -MarketingGeneralExpenses[[#Totals],[Budget 14/15]]</f>
        <v>-146880.57</v>
      </c>
      <c r="F31" s="244">
        <f>(MarketingGeneralRevenues[[#Totals],[Actual 14/15]]) -MarketingGeneralExpenses[[#Totals],[Actual 14/15]]</f>
        <v>-176751.66</v>
      </c>
      <c r="G31" s="244">
        <f>(MarketingGeneralRevenues[[#Totals],[Budget 15/16]]) -MarketingGeneralExpenses[[#Totals],[Budget 15/16]]</f>
        <v>-121371.87</v>
      </c>
      <c r="H31" s="244">
        <f>(MarketingGeneralRevenues[[#Totals],[Actual 15/16]]) -MarketingGeneralExpenses[[#Totals],[Actual 15/16]]</f>
        <v>-103690.74999999999</v>
      </c>
      <c r="I31" s="243">
        <f>(MarketingGeneralRevenues[[#Totals],[Budget 16/17]]) -MarketingGeneralExpenses[[#Totals],[Budget 16/17]]</f>
        <v>-141232.6</v>
      </c>
      <c r="J31" s="243">
        <f>(MarketingGeneralRevenues[[#Totals],[Actual 16/17]]) -MarketingGeneralExpenses[[#Totals],[Actual 16/17]]</f>
        <v>-136292.86000000002</v>
      </c>
      <c r="K31" s="243">
        <f>(MarketingGeneralRevenues[[#Totals],[Budget 17/18]]) -MarketingGeneralExpenses[[#Totals],[Budget 17/18]]</f>
        <v>-134320</v>
      </c>
      <c r="L31" s="243">
        <f>(MarketingGeneralRevenues[[#Totals],[Actual 17/18]]) -MarketingGeneralExpenses[[#Totals],[Actual 17/18]]</f>
        <v>-129752.83000000005</v>
      </c>
      <c r="M31" s="243">
        <f>(MarketingGeneralRevenues[[#Totals],[Budget 18/19]]) -MarketingGeneralExpenses[[#Totals],[Budget 18/19]]</f>
        <v>-156506.20000000001</v>
      </c>
      <c r="N31" s="243">
        <f>(MarketingGeneralRevenues[[#Totals],[Actuals 18/19]]) -MarketingGeneralExpenses[[#Totals],[Actual 18/19]]</f>
        <v>-130880.1</v>
      </c>
      <c r="O31" s="242">
        <f>MarketingGeneralRevenues[[#Totals],[Bugdet 19/20]]-MarketingGeneralExpenses[[#Totals],[Budget 19/20]]</f>
        <v>-45095.97</v>
      </c>
      <c r="P31" s="242"/>
    </row>
    <row r="32" spans="1:16">
      <c r="D32" s="241"/>
      <c r="E32" s="241"/>
      <c r="F32" s="241"/>
      <c r="G32" s="241"/>
      <c r="H32" s="241"/>
      <c r="I32" s="241"/>
    </row>
    <row r="36" spans="2:15">
      <c r="B36" s="240" t="e">
        <f>M31+'Communications (16200)'!N26+'Handbook (16300)'!M17+'Marketing - Advocacy (16400)'!I30+'Marketing -CL (16500)'!J43+'Marketing - Ops &amp; Fac (16600)'!#REF!+'Marketing - Res., C&amp;S (16700)'!#REF!</f>
        <v>#REF!</v>
      </c>
      <c r="O36" s="240" t="e">
        <f>O31+'Communications (16200)'!P26+'Handbook (16300)'!O17+'Marketing - Advocacy (16400)'!K30+'Marketing -CL (16500)'!J29+'Marketing -CL (16500)'!L43+'Marketing - Ops &amp; Fac (16600)'!#REF!+'Marketing - Res., C&amp;S (16700)'!#REF!</f>
        <v>#REF!</v>
      </c>
    </row>
  </sheetData>
  <pageMargins left="0.7" right="0.7" top="0.75" bottom="0.75" header="0.3" footer="0.3"/>
  <pageSetup orientation="landscape" r:id="rId1"/>
  <legacyDrawing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1"/>
    <pageSetUpPr fitToPage="1"/>
  </sheetPr>
  <dimension ref="A1:V49"/>
  <sheetViews>
    <sheetView showGridLines="0" zoomScaleNormal="100" workbookViewId="0">
      <selection activeCell="X5" sqref="X5"/>
    </sheetView>
  </sheetViews>
  <sheetFormatPr defaultColWidth="11.42578125" defaultRowHeight="12.75"/>
  <cols>
    <col min="1" max="1" width="13.42578125" style="8" customWidth="1"/>
    <col min="2" max="2" width="37.5703125" style="8" customWidth="1"/>
    <col min="3" max="8" width="17.140625" style="8" hidden="1" customWidth="1"/>
    <col min="9" max="10" width="18.42578125" style="8" hidden="1" customWidth="1"/>
    <col min="11" max="13" width="17.140625" style="8" hidden="1" customWidth="1"/>
    <col min="14" max="14" width="20" style="8" hidden="1" customWidth="1"/>
    <col min="15" max="15" width="16.85546875" style="138" hidden="1" customWidth="1"/>
    <col min="16" max="16" width="16.85546875" style="8" hidden="1" customWidth="1"/>
    <col min="17" max="18" width="17" style="8" customWidth="1"/>
    <col min="19" max="19" width="16" style="8" bestFit="1" customWidth="1"/>
    <col min="20" max="20" width="16" style="8" customWidth="1"/>
    <col min="21" max="22" width="16" style="8" bestFit="1" customWidth="1"/>
    <col min="23" max="16384" width="11.42578125" style="8"/>
  </cols>
  <sheetData>
    <row r="1" spans="1:22" ht="18">
      <c r="A1" s="534" t="s">
        <v>45</v>
      </c>
      <c r="B1" s="534"/>
    </row>
    <row r="2" spans="1:22">
      <c r="A2" s="28" t="s">
        <v>46</v>
      </c>
      <c r="B2" s="23"/>
    </row>
    <row r="4" spans="1:22">
      <c r="B4" s="8" t="s">
        <v>47</v>
      </c>
      <c r="C4" s="8" t="s">
        <v>48</v>
      </c>
      <c r="D4" s="8" t="s">
        <v>49</v>
      </c>
      <c r="E4" s="8" t="s">
        <v>50</v>
      </c>
      <c r="F4" s="8" t="s">
        <v>51</v>
      </c>
      <c r="G4" s="8" t="s">
        <v>52</v>
      </c>
      <c r="H4" s="8" t="s">
        <v>53</v>
      </c>
      <c r="I4" s="8" t="s">
        <v>54</v>
      </c>
      <c r="J4" s="8" t="s">
        <v>55</v>
      </c>
      <c r="K4" s="8" t="s">
        <v>56</v>
      </c>
      <c r="L4" s="8" t="s">
        <v>57</v>
      </c>
      <c r="M4" s="8" t="s">
        <v>29</v>
      </c>
      <c r="N4" s="124" t="s">
        <v>58</v>
      </c>
      <c r="O4" s="8" t="s">
        <v>31</v>
      </c>
      <c r="P4" s="8" t="s">
        <v>32</v>
      </c>
      <c r="Q4" s="8" t="s">
        <v>33</v>
      </c>
      <c r="R4" s="8" t="s">
        <v>34</v>
      </c>
      <c r="S4" s="8" t="s">
        <v>6</v>
      </c>
      <c r="T4" s="8" t="s">
        <v>7</v>
      </c>
      <c r="U4" s="8" t="s">
        <v>8</v>
      </c>
    </row>
    <row r="5" spans="1:22">
      <c r="B5" s="25"/>
      <c r="C5" s="24">
        <v>0</v>
      </c>
      <c r="D5" s="24">
        <v>0</v>
      </c>
      <c r="E5" s="24">
        <v>0</v>
      </c>
      <c r="F5" s="24">
        <v>0</v>
      </c>
      <c r="G5" s="24">
        <v>0</v>
      </c>
      <c r="H5" s="24">
        <v>0</v>
      </c>
      <c r="I5" s="24">
        <v>0</v>
      </c>
      <c r="J5" s="24">
        <v>0</v>
      </c>
      <c r="K5" s="24">
        <v>0</v>
      </c>
      <c r="L5" s="24">
        <v>0</v>
      </c>
      <c r="M5" s="24">
        <v>0</v>
      </c>
      <c r="N5" s="139">
        <v>0</v>
      </c>
      <c r="O5" s="24">
        <v>0</v>
      </c>
      <c r="P5" s="24">
        <v>0</v>
      </c>
      <c r="Q5" s="24">
        <v>0</v>
      </c>
      <c r="R5" s="24"/>
      <c r="S5" s="24"/>
      <c r="T5" s="24"/>
      <c r="U5" s="24"/>
    </row>
    <row r="6" spans="1:22">
      <c r="A6" s="26"/>
      <c r="B6" s="8" t="s">
        <v>59</v>
      </c>
      <c r="C6" s="16">
        <f>SUBTOTAL(109,PresidentRevenues[Budget 10/11])</f>
        <v>0</v>
      </c>
      <c r="D6" s="16">
        <f>SUBTOTAL(109,PresidentRevenues[Actual 10/11])</f>
        <v>0</v>
      </c>
      <c r="E6" s="16">
        <f>SUBTOTAL(109,PresidentRevenues[Budget 11/12])</f>
        <v>0</v>
      </c>
      <c r="F6" s="16">
        <f>SUBTOTAL(109,PresidentRevenues[Actual 11/12])</f>
        <v>0</v>
      </c>
      <c r="G6" s="16">
        <f>SUBTOTAL(109,PresidentRevenues[Budget 12/13])</f>
        <v>0</v>
      </c>
      <c r="H6" s="16">
        <f>SUBTOTAL(109,PresidentRevenues[Actual 12/13])</f>
        <v>0</v>
      </c>
      <c r="I6" s="16">
        <f>SUBTOTAL(109,PresidentRevenues[Budget 13/14])</f>
        <v>0</v>
      </c>
      <c r="J6" s="16">
        <f>SUBTOTAL(109,PresidentRevenues[Actual 13/14])</f>
        <v>0</v>
      </c>
      <c r="K6" s="16">
        <f>SUBTOTAL(109,PresidentRevenues[Budget 14/15])</f>
        <v>0</v>
      </c>
      <c r="L6" s="16">
        <f>SUBTOTAL(109,PresidentRevenues[Actuals 14/15])</f>
        <v>0</v>
      </c>
      <c r="M6" s="16">
        <f>SUBTOTAL(109,PresidentRevenues[Budget 15/16])</f>
        <v>0</v>
      </c>
      <c r="N6" s="140">
        <f>SUBTOTAL(109,PresidentRevenues[Actuals 15/16])</f>
        <v>0</v>
      </c>
      <c r="O6" s="16">
        <f>SUBTOTAL(109,PresidentRevenues[Budget 16/17])</f>
        <v>0</v>
      </c>
      <c r="P6" s="16">
        <f>SUBTOTAL(109,PresidentRevenues[Actual 16/17])</f>
        <v>0</v>
      </c>
      <c r="Q6" s="16">
        <f>SUBTOTAL(109,PresidentRevenues[Budget 17/18])</f>
        <v>0</v>
      </c>
    </row>
    <row r="8" spans="1:22">
      <c r="A8" s="49" t="s">
        <v>60</v>
      </c>
      <c r="B8" s="8" t="s">
        <v>61</v>
      </c>
      <c r="C8" s="8" t="s">
        <v>48</v>
      </c>
      <c r="D8" s="8" t="s">
        <v>49</v>
      </c>
      <c r="E8" s="8" t="s">
        <v>50</v>
      </c>
      <c r="F8" s="8" t="s">
        <v>51</v>
      </c>
      <c r="G8" s="8" t="s">
        <v>52</v>
      </c>
      <c r="H8" s="8" t="s">
        <v>53</v>
      </c>
      <c r="I8" s="8" t="s">
        <v>54</v>
      </c>
      <c r="J8" s="8" t="s">
        <v>55</v>
      </c>
      <c r="K8" s="8" t="s">
        <v>56</v>
      </c>
      <c r="L8" s="8" t="s">
        <v>57</v>
      </c>
      <c r="M8" s="8" t="s">
        <v>29</v>
      </c>
      <c r="N8" s="124" t="s">
        <v>30</v>
      </c>
      <c r="O8" s="8" t="s">
        <v>31</v>
      </c>
      <c r="P8" s="8" t="s">
        <v>32</v>
      </c>
      <c r="Q8" s="8" t="s">
        <v>33</v>
      </c>
      <c r="R8" s="180" t="s">
        <v>34</v>
      </c>
      <c r="S8" s="180" t="s">
        <v>6</v>
      </c>
      <c r="T8" s="180" t="s">
        <v>7</v>
      </c>
      <c r="U8" s="180" t="s">
        <v>8</v>
      </c>
      <c r="V8" s="180"/>
    </row>
    <row r="9" spans="1:22">
      <c r="A9" s="49" t="s">
        <v>62</v>
      </c>
      <c r="B9" s="8" t="s">
        <v>63</v>
      </c>
      <c r="C9" s="24">
        <v>45785.18</v>
      </c>
      <c r="D9" s="24">
        <v>45629.24</v>
      </c>
      <c r="E9" s="24">
        <v>46794.6</v>
      </c>
      <c r="F9" s="24">
        <v>45689.64</v>
      </c>
      <c r="G9" s="24">
        <v>47964.464999999997</v>
      </c>
      <c r="H9" s="24">
        <v>50574.66</v>
      </c>
      <c r="I9" s="24">
        <f>49596-1487.88</f>
        <v>48108.12</v>
      </c>
      <c r="J9" s="24">
        <v>51112.73</v>
      </c>
      <c r="K9" s="24">
        <v>47532.4</v>
      </c>
      <c r="L9" s="24">
        <v>47394.42</v>
      </c>
      <c r="M9" s="24">
        <v>46532.4</v>
      </c>
      <c r="N9" s="139">
        <v>45702.73</v>
      </c>
      <c r="O9" s="24">
        <f>VPEDExpenses[[#This Row],[Budget 15/16]]*1.011</f>
        <v>47044.256399999998</v>
      </c>
      <c r="P9" s="24">
        <v>47044.26</v>
      </c>
      <c r="Q9" s="24">
        <v>47702.87</v>
      </c>
      <c r="R9" s="446">
        <v>47746.19</v>
      </c>
      <c r="S9" s="446">
        <v>48227.6</v>
      </c>
      <c r="T9" s="446">
        <v>52477.42</v>
      </c>
      <c r="U9" s="446">
        <f>48227.6*1.023</f>
        <v>49336.834799999997</v>
      </c>
      <c r="V9" s="446"/>
    </row>
    <row r="10" spans="1:22">
      <c r="A10" s="49"/>
      <c r="B10" s="8" t="s">
        <v>64</v>
      </c>
      <c r="C10" s="24"/>
      <c r="D10" s="24"/>
      <c r="E10" s="24"/>
      <c r="F10" s="24"/>
      <c r="G10" s="24"/>
      <c r="H10" s="24"/>
      <c r="I10" s="24"/>
      <c r="J10" s="24"/>
      <c r="K10" s="24"/>
      <c r="L10" s="24"/>
      <c r="M10" s="24">
        <v>4466.76</v>
      </c>
      <c r="N10" s="139"/>
      <c r="O10" s="24">
        <f>VPEDExpenses[[#This Row],[Budget 15/16]]*1.011</f>
        <v>4515.8943599999993</v>
      </c>
      <c r="P10" s="24">
        <v>4515.8900000000003</v>
      </c>
      <c r="Q10" s="24">
        <v>4579.1099999999997</v>
      </c>
      <c r="R10" s="446">
        <v>4535.79</v>
      </c>
      <c r="S10" s="446">
        <v>4629.4799999999996</v>
      </c>
      <c r="T10" s="446"/>
      <c r="U10" s="446">
        <f>4629.48*1.023</f>
        <v>4735.9580399999995</v>
      </c>
      <c r="V10" s="446"/>
    </row>
    <row r="11" spans="1:22">
      <c r="A11" s="49" t="s">
        <v>65</v>
      </c>
      <c r="B11" s="8" t="s">
        <v>66</v>
      </c>
      <c r="C11" s="24">
        <v>0</v>
      </c>
      <c r="D11" s="24">
        <v>0</v>
      </c>
      <c r="E11" s="24">
        <v>0</v>
      </c>
      <c r="F11" s="24">
        <v>0</v>
      </c>
      <c r="G11" s="24">
        <v>1250</v>
      </c>
      <c r="H11" s="24">
        <v>92.56</v>
      </c>
      <c r="I11" s="24">
        <v>3500</v>
      </c>
      <c r="J11" s="24">
        <v>0</v>
      </c>
      <c r="K11" s="24">
        <v>1890</v>
      </c>
      <c r="L11" s="24">
        <v>941.49</v>
      </c>
      <c r="M11" s="24">
        <v>1500</v>
      </c>
      <c r="N11" s="139">
        <v>0</v>
      </c>
      <c r="O11" s="24">
        <v>1500</v>
      </c>
      <c r="P11" s="24">
        <v>2535.1</v>
      </c>
      <c r="Q11" s="24">
        <v>3500</v>
      </c>
      <c r="R11" s="446"/>
      <c r="S11" s="446">
        <v>3000</v>
      </c>
      <c r="T11" s="446">
        <v>505.29</v>
      </c>
      <c r="U11" s="446"/>
      <c r="V11" s="446"/>
    </row>
    <row r="12" spans="1:22">
      <c r="A12" s="49" t="s">
        <v>67</v>
      </c>
      <c r="B12" s="8" t="s">
        <v>68</v>
      </c>
      <c r="C12" s="24">
        <v>0</v>
      </c>
      <c r="D12" s="24">
        <v>0</v>
      </c>
      <c r="E12" s="24">
        <v>0</v>
      </c>
      <c r="F12" s="24">
        <v>193.16</v>
      </c>
      <c r="G12" s="24">
        <v>100</v>
      </c>
      <c r="H12" s="24">
        <v>100</v>
      </c>
      <c r="I12" s="24">
        <f>G12</f>
        <v>100</v>
      </c>
      <c r="J12" s="24">
        <v>89.42</v>
      </c>
      <c r="K12" s="24"/>
      <c r="L12" s="24">
        <v>65.84</v>
      </c>
      <c r="M12" s="24">
        <v>200</v>
      </c>
      <c r="N12" s="139">
        <v>0</v>
      </c>
      <c r="O12" s="24">
        <v>0</v>
      </c>
      <c r="P12" s="24"/>
      <c r="Q12" s="24"/>
      <c r="R12" s="446"/>
      <c r="S12" s="446"/>
      <c r="T12" s="446"/>
      <c r="U12" s="446"/>
      <c r="V12" s="446"/>
    </row>
    <row r="13" spans="1:22">
      <c r="A13" s="49" t="s">
        <v>69</v>
      </c>
      <c r="B13" s="8" t="s">
        <v>70</v>
      </c>
      <c r="C13" s="24">
        <v>750</v>
      </c>
      <c r="D13" s="24">
        <v>332.24</v>
      </c>
      <c r="E13" s="24">
        <v>600</v>
      </c>
      <c r="F13" s="24">
        <v>305.95999999999998</v>
      </c>
      <c r="G13" s="24">
        <v>310</v>
      </c>
      <c r="H13" s="24">
        <v>300</v>
      </c>
      <c r="I13" s="24">
        <v>310</v>
      </c>
      <c r="J13" s="24">
        <v>490.82</v>
      </c>
      <c r="K13" s="24">
        <v>300</v>
      </c>
      <c r="L13" s="24">
        <v>353.74</v>
      </c>
      <c r="M13" s="24">
        <v>300</v>
      </c>
      <c r="N13" s="139">
        <v>275.45</v>
      </c>
      <c r="O13" s="24">
        <v>300</v>
      </c>
      <c r="P13" s="24">
        <v>295</v>
      </c>
      <c r="Q13" s="24">
        <v>300</v>
      </c>
      <c r="R13" s="446">
        <v>272.25</v>
      </c>
      <c r="S13" s="446">
        <v>300</v>
      </c>
      <c r="T13" s="446">
        <v>333.12</v>
      </c>
      <c r="U13" s="446">
        <v>300</v>
      </c>
      <c r="V13" s="446"/>
    </row>
    <row r="14" spans="1:22">
      <c r="A14" s="49" t="s">
        <v>71</v>
      </c>
      <c r="B14" s="8" t="s">
        <v>72</v>
      </c>
      <c r="C14" s="24">
        <v>900</v>
      </c>
      <c r="D14" s="24">
        <v>1041.81</v>
      </c>
      <c r="E14" s="24">
        <v>1150</v>
      </c>
      <c r="F14" s="24">
        <v>719.07</v>
      </c>
      <c r="G14" s="24">
        <v>1200</v>
      </c>
      <c r="H14" s="24">
        <v>1358.99</v>
      </c>
      <c r="I14" s="24">
        <v>900</v>
      </c>
      <c r="J14" s="24">
        <v>942.48</v>
      </c>
      <c r="K14" s="24">
        <f>12*70</f>
        <v>840</v>
      </c>
      <c r="L14" s="24">
        <v>557.15</v>
      </c>
      <c r="M14" s="24">
        <f>67.8*12</f>
        <v>813.59999999999991</v>
      </c>
      <c r="N14" s="139">
        <v>813.6</v>
      </c>
      <c r="O14" s="24">
        <v>813.6</v>
      </c>
      <c r="P14" s="24">
        <v>813.6</v>
      </c>
      <c r="Q14" s="24">
        <v>813.6</v>
      </c>
      <c r="R14" s="446">
        <v>813.6</v>
      </c>
      <c r="S14" s="446">
        <v>876</v>
      </c>
      <c r="T14" s="446">
        <v>882.6</v>
      </c>
      <c r="U14" s="446">
        <v>0</v>
      </c>
      <c r="V14" s="446"/>
    </row>
    <row r="15" spans="1:22">
      <c r="A15" s="49" t="s">
        <v>73</v>
      </c>
      <c r="B15" s="8" t="s">
        <v>74</v>
      </c>
      <c r="C15" s="24">
        <v>5</v>
      </c>
      <c r="D15" s="24">
        <v>0</v>
      </c>
      <c r="E15" s="24">
        <v>5</v>
      </c>
      <c r="F15" s="24">
        <v>0</v>
      </c>
      <c r="G15" s="24">
        <v>5</v>
      </c>
      <c r="H15" s="24">
        <v>0</v>
      </c>
      <c r="I15" s="24">
        <f>G15</f>
        <v>5</v>
      </c>
      <c r="J15" s="24">
        <v>0</v>
      </c>
      <c r="K15" s="24">
        <v>0</v>
      </c>
      <c r="L15" s="24">
        <v>0</v>
      </c>
      <c r="M15" s="24">
        <v>0</v>
      </c>
      <c r="N15" s="139">
        <v>0</v>
      </c>
      <c r="O15" s="24" t="s">
        <v>75</v>
      </c>
      <c r="P15" s="24"/>
      <c r="Q15" s="24"/>
      <c r="R15" s="446"/>
      <c r="S15" s="446"/>
      <c r="T15" s="446"/>
      <c r="U15" s="446"/>
      <c r="V15" s="446"/>
    </row>
    <row r="16" spans="1:22">
      <c r="A16" s="49" t="s">
        <v>76</v>
      </c>
      <c r="B16" s="8" t="s">
        <v>77</v>
      </c>
      <c r="C16" s="24">
        <v>75</v>
      </c>
      <c r="D16" s="24">
        <v>141.36000000000001</v>
      </c>
      <c r="E16" s="24">
        <v>125</v>
      </c>
      <c r="F16" s="24">
        <v>101.19</v>
      </c>
      <c r="G16" s="24">
        <v>150</v>
      </c>
      <c r="H16" s="24">
        <v>259.05</v>
      </c>
      <c r="I16" s="24">
        <f>G16</f>
        <v>150</v>
      </c>
      <c r="J16" s="24">
        <v>330.74</v>
      </c>
      <c r="K16" s="24">
        <v>100</v>
      </c>
      <c r="L16" s="24">
        <v>805.86</v>
      </c>
      <c r="M16" s="24">
        <v>300</v>
      </c>
      <c r="N16" s="139">
        <v>365.59</v>
      </c>
      <c r="O16" s="24">
        <v>300</v>
      </c>
      <c r="P16" s="24"/>
      <c r="Q16" s="24">
        <v>300</v>
      </c>
      <c r="R16" s="446">
        <v>40.18</v>
      </c>
      <c r="S16" s="446">
        <v>100</v>
      </c>
      <c r="T16" s="446">
        <v>58.92</v>
      </c>
      <c r="U16" s="446">
        <v>50</v>
      </c>
      <c r="V16" s="446"/>
    </row>
    <row r="17" spans="1:22">
      <c r="A17" s="49" t="s">
        <v>78</v>
      </c>
      <c r="B17" s="8" t="s">
        <v>79</v>
      </c>
      <c r="C17" s="24">
        <v>100</v>
      </c>
      <c r="D17" s="24">
        <v>82.1</v>
      </c>
      <c r="E17" s="24">
        <v>150</v>
      </c>
      <c r="F17" s="24">
        <v>538.33000000000004</v>
      </c>
      <c r="G17" s="24">
        <v>600</v>
      </c>
      <c r="H17" s="24">
        <v>555.23</v>
      </c>
      <c r="I17" s="24">
        <f>G17*0.5</f>
        <v>300</v>
      </c>
      <c r="J17" s="24">
        <v>0</v>
      </c>
      <c r="K17" s="24">
        <v>100</v>
      </c>
      <c r="L17" s="24">
        <v>124.84</v>
      </c>
      <c r="M17" s="24">
        <v>100</v>
      </c>
      <c r="N17" s="139">
        <v>66.83</v>
      </c>
      <c r="O17" s="24">
        <v>100</v>
      </c>
      <c r="P17" s="24">
        <v>30.87</v>
      </c>
      <c r="Q17" s="24">
        <v>100</v>
      </c>
      <c r="R17" s="446"/>
      <c r="S17" s="446">
        <v>100</v>
      </c>
      <c r="T17" s="446">
        <v>9.89</v>
      </c>
      <c r="U17" s="446">
        <v>100</v>
      </c>
      <c r="V17" s="446"/>
    </row>
    <row r="18" spans="1:22">
      <c r="A18" s="49" t="s">
        <v>80</v>
      </c>
      <c r="B18" s="8" t="s">
        <v>81</v>
      </c>
      <c r="C18" s="24">
        <v>1000</v>
      </c>
      <c r="D18" s="24">
        <v>567.61</v>
      </c>
      <c r="E18" s="24">
        <v>1200</v>
      </c>
      <c r="F18" s="24">
        <v>610.85</v>
      </c>
      <c r="G18" s="24">
        <v>1400</v>
      </c>
      <c r="H18" s="24">
        <v>1591.96</v>
      </c>
      <c r="I18" s="24">
        <f>G18*0.75</f>
        <v>1050</v>
      </c>
      <c r="J18" s="24">
        <v>851.53</v>
      </c>
      <c r="K18" s="24">
        <f>1400-110</f>
        <v>1290</v>
      </c>
      <c r="L18" s="24">
        <v>874.54</v>
      </c>
      <c r="M18" s="24">
        <v>1000</v>
      </c>
      <c r="N18" s="139">
        <v>900.91</v>
      </c>
      <c r="O18" s="24">
        <v>1000</v>
      </c>
      <c r="P18" s="24">
        <v>431.39</v>
      </c>
      <c r="Q18" s="24">
        <v>700</v>
      </c>
      <c r="R18" s="446">
        <v>227.4</v>
      </c>
      <c r="S18" s="446">
        <v>500</v>
      </c>
      <c r="T18" s="446">
        <v>72.010000000000005</v>
      </c>
      <c r="U18" s="446">
        <v>300</v>
      </c>
      <c r="V18" s="446"/>
    </row>
    <row r="19" spans="1:22">
      <c r="A19" s="49" t="s">
        <v>82</v>
      </c>
      <c r="B19" s="8" t="s">
        <v>83</v>
      </c>
      <c r="C19" s="24">
        <v>1250</v>
      </c>
      <c r="D19" s="24">
        <v>1503.85</v>
      </c>
      <c r="E19" s="24">
        <v>800</v>
      </c>
      <c r="F19" s="24">
        <v>160.03</v>
      </c>
      <c r="G19" s="24">
        <v>1500</v>
      </c>
      <c r="H19" s="24">
        <v>2042.07</v>
      </c>
      <c r="I19" s="24">
        <f>G19*1.2</f>
        <v>1800</v>
      </c>
      <c r="J19" s="24">
        <v>1722.41</v>
      </c>
      <c r="K19" s="24">
        <v>1800</v>
      </c>
      <c r="L19" s="24">
        <v>3044.1</v>
      </c>
      <c r="M19" s="24">
        <v>2500</v>
      </c>
      <c r="N19" s="139">
        <v>322.60000000000002</v>
      </c>
      <c r="O19" s="24">
        <v>1600</v>
      </c>
      <c r="P19" s="24">
        <v>1296.43</v>
      </c>
      <c r="Q19" s="24">
        <v>1200</v>
      </c>
      <c r="R19" s="446">
        <v>2008.14</v>
      </c>
      <c r="S19" s="446">
        <v>1100</v>
      </c>
      <c r="T19" s="446">
        <v>1245.43</v>
      </c>
      <c r="U19" s="446">
        <v>1000</v>
      </c>
      <c r="V19" s="446"/>
    </row>
    <row r="20" spans="1:22">
      <c r="A20" s="49" t="s">
        <v>84</v>
      </c>
      <c r="B20" s="8" t="s">
        <v>85</v>
      </c>
      <c r="C20" s="24">
        <v>7000</v>
      </c>
      <c r="D20" s="24">
        <v>5373.69</v>
      </c>
      <c r="E20" s="24">
        <v>0</v>
      </c>
      <c r="F20" s="24">
        <v>0</v>
      </c>
      <c r="G20" s="24">
        <v>0</v>
      </c>
      <c r="H20" s="24">
        <v>0</v>
      </c>
      <c r="I20" s="24">
        <f>15000</f>
        <v>15000</v>
      </c>
      <c r="J20" s="24">
        <v>0</v>
      </c>
      <c r="K20" s="24">
        <v>10000</v>
      </c>
      <c r="L20" s="24">
        <v>5099.6899999999996</v>
      </c>
      <c r="M20" s="24">
        <v>0</v>
      </c>
      <c r="N20" s="139">
        <v>0</v>
      </c>
      <c r="O20" s="24">
        <v>0</v>
      </c>
      <c r="P20" s="24"/>
      <c r="Q20" s="24"/>
      <c r="R20" s="446"/>
      <c r="S20" s="446"/>
      <c r="T20" s="446"/>
      <c r="U20" s="446">
        <v>16200</v>
      </c>
      <c r="V20" s="446"/>
    </row>
    <row r="21" spans="1:22">
      <c r="A21" s="49" t="s">
        <v>86</v>
      </c>
      <c r="B21" s="8" t="s">
        <v>87</v>
      </c>
      <c r="C21" s="24">
        <v>0</v>
      </c>
      <c r="D21" s="24">
        <v>0</v>
      </c>
      <c r="E21" s="24">
        <v>0</v>
      </c>
      <c r="F21" s="24">
        <v>0</v>
      </c>
      <c r="G21" s="24">
        <v>1000</v>
      </c>
      <c r="H21" s="24">
        <v>0</v>
      </c>
      <c r="I21" s="24">
        <v>0</v>
      </c>
      <c r="J21" s="24">
        <v>0</v>
      </c>
      <c r="K21" s="24">
        <v>0</v>
      </c>
      <c r="L21" s="24">
        <v>0</v>
      </c>
      <c r="M21" s="24">
        <v>0</v>
      </c>
      <c r="N21" s="139">
        <v>0</v>
      </c>
      <c r="O21" s="24">
        <v>0</v>
      </c>
      <c r="P21" s="24">
        <v>180.96</v>
      </c>
      <c r="Q21" s="24"/>
      <c r="R21" s="446"/>
      <c r="S21" s="446"/>
      <c r="T21" s="446"/>
      <c r="U21" s="446"/>
      <c r="V21" s="446"/>
    </row>
    <row r="22" spans="1:22">
      <c r="A22" s="49" t="s">
        <v>88</v>
      </c>
      <c r="B22" s="8" t="s">
        <v>89</v>
      </c>
      <c r="C22" s="24">
        <v>3000</v>
      </c>
      <c r="D22" s="24">
        <v>3027.31</v>
      </c>
      <c r="E22" s="24">
        <v>8600</v>
      </c>
      <c r="F22" s="24">
        <v>6827.88</v>
      </c>
      <c r="G22" s="115">
        <v>9900</v>
      </c>
      <c r="H22" s="87">
        <v>9361.06</v>
      </c>
      <c r="I22" s="24">
        <v>0</v>
      </c>
      <c r="J22" s="24">
        <v>39627.449999999997</v>
      </c>
      <c r="K22" s="115">
        <f>6000-790</f>
        <v>5210</v>
      </c>
      <c r="L22" s="87">
        <v>6303.07</v>
      </c>
      <c r="M22" s="29">
        <v>5000</v>
      </c>
      <c r="N22" s="141">
        <v>1364.01</v>
      </c>
      <c r="O22" s="29">
        <v>3000</v>
      </c>
      <c r="P22" s="24">
        <v>2021.67</v>
      </c>
      <c r="Q22" s="24">
        <v>3500</v>
      </c>
      <c r="R22" s="446">
        <v>3463.06</v>
      </c>
      <c r="S22" s="446">
        <v>3500</v>
      </c>
      <c r="T22" s="446">
        <v>6939.86</v>
      </c>
      <c r="U22" s="447">
        <v>1000</v>
      </c>
      <c r="V22" s="446"/>
    </row>
    <row r="23" spans="1:22">
      <c r="A23" s="49"/>
      <c r="B23" s="52" t="s">
        <v>90</v>
      </c>
      <c r="C23" s="114">
        <v>0</v>
      </c>
      <c r="D23" s="97">
        <v>0</v>
      </c>
      <c r="E23" s="116">
        <v>0</v>
      </c>
      <c r="F23" s="113">
        <v>0</v>
      </c>
      <c r="G23" s="24">
        <v>0</v>
      </c>
      <c r="H23" s="87">
        <v>0</v>
      </c>
      <c r="I23" s="116">
        <v>2500</v>
      </c>
      <c r="J23" s="97">
        <v>0</v>
      </c>
      <c r="K23" s="24">
        <v>0</v>
      </c>
      <c r="L23" s="87">
        <v>0</v>
      </c>
      <c r="M23" s="24">
        <v>4000</v>
      </c>
      <c r="N23" s="139">
        <v>0</v>
      </c>
      <c r="O23" s="24">
        <v>0</v>
      </c>
      <c r="P23" s="24"/>
      <c r="Q23" s="24"/>
      <c r="R23" s="448"/>
      <c r="S23" s="448"/>
      <c r="T23" s="448"/>
      <c r="U23" s="448"/>
      <c r="V23" s="448"/>
    </row>
    <row r="24" spans="1:22">
      <c r="A24" s="49"/>
      <c r="B24" s="52" t="s">
        <v>91</v>
      </c>
      <c r="C24" s="114">
        <v>0</v>
      </c>
      <c r="D24" s="97">
        <v>0</v>
      </c>
      <c r="E24" s="115">
        <v>0</v>
      </c>
      <c r="F24" s="113">
        <v>0</v>
      </c>
      <c r="G24" s="116">
        <v>0</v>
      </c>
      <c r="H24" s="87">
        <v>0</v>
      </c>
      <c r="I24" s="116">
        <v>0</v>
      </c>
      <c r="J24" s="113">
        <v>0</v>
      </c>
      <c r="K24" s="116">
        <v>5000</v>
      </c>
      <c r="L24" s="87">
        <v>0</v>
      </c>
      <c r="M24" s="114">
        <v>0</v>
      </c>
      <c r="N24" s="142">
        <v>0</v>
      </c>
      <c r="O24" s="95">
        <v>0</v>
      </c>
      <c r="P24" s="24"/>
      <c r="Q24" s="24"/>
      <c r="R24" s="448"/>
      <c r="S24" s="448"/>
      <c r="T24" s="448"/>
      <c r="U24" s="448"/>
      <c r="V24" s="448"/>
    </row>
    <row r="25" spans="1:22">
      <c r="A25" s="49"/>
      <c r="B25" s="8" t="s">
        <v>92</v>
      </c>
      <c r="C25" s="114">
        <v>0</v>
      </c>
      <c r="D25" s="97">
        <v>0</v>
      </c>
      <c r="E25" s="24">
        <v>0</v>
      </c>
      <c r="F25" s="113">
        <v>0</v>
      </c>
      <c r="G25" s="24">
        <v>0</v>
      </c>
      <c r="H25" s="24">
        <v>0</v>
      </c>
      <c r="I25" s="116">
        <v>2500</v>
      </c>
      <c r="J25" s="97">
        <v>0</v>
      </c>
      <c r="K25" s="24">
        <v>500</v>
      </c>
      <c r="L25" s="87">
        <v>0</v>
      </c>
      <c r="M25" s="95">
        <v>500</v>
      </c>
      <c r="N25" s="143">
        <v>0</v>
      </c>
      <c r="O25" s="95">
        <v>0</v>
      </c>
      <c r="P25" s="24"/>
      <c r="Q25" s="24"/>
      <c r="R25" s="448"/>
      <c r="S25" s="448"/>
      <c r="T25" s="448"/>
      <c r="U25" s="448"/>
      <c r="V25" s="448"/>
    </row>
    <row r="26" spans="1:22">
      <c r="A26" s="49"/>
      <c r="B26" s="52" t="s">
        <v>93</v>
      </c>
      <c r="C26" s="114">
        <v>0</v>
      </c>
      <c r="D26" s="24">
        <v>0</v>
      </c>
      <c r="E26" s="116">
        <v>0</v>
      </c>
      <c r="F26" s="113">
        <v>0</v>
      </c>
      <c r="G26" s="114">
        <v>0</v>
      </c>
      <c r="H26" s="97">
        <v>0</v>
      </c>
      <c r="I26" s="116">
        <v>15000</v>
      </c>
      <c r="J26" s="113">
        <v>0</v>
      </c>
      <c r="K26" s="114">
        <v>2000</v>
      </c>
      <c r="L26" s="24">
        <v>0</v>
      </c>
      <c r="M26" s="94">
        <v>0</v>
      </c>
      <c r="N26" s="143">
        <v>0</v>
      </c>
      <c r="O26" s="29">
        <v>0</v>
      </c>
      <c r="P26" s="24"/>
      <c r="Q26" s="24"/>
      <c r="R26" s="448"/>
      <c r="S26" s="448"/>
      <c r="T26" s="448"/>
      <c r="U26" s="448"/>
      <c r="V26" s="448"/>
    </row>
    <row r="27" spans="1:22">
      <c r="A27" s="49"/>
      <c r="B27" s="8" t="s">
        <v>94</v>
      </c>
      <c r="C27" s="114"/>
      <c r="D27" s="24"/>
      <c r="E27" s="24"/>
      <c r="F27" s="113"/>
      <c r="G27" s="114"/>
      <c r="H27" s="113"/>
      <c r="I27" s="114"/>
      <c r="J27" s="113"/>
      <c r="K27" s="114"/>
      <c r="L27" s="24"/>
      <c r="M27" s="94"/>
      <c r="N27" s="143"/>
      <c r="O27" s="24">
        <v>8000</v>
      </c>
      <c r="P27" s="24">
        <v>7100</v>
      </c>
      <c r="Q27" s="24"/>
      <c r="R27" s="448"/>
      <c r="S27" s="448"/>
      <c r="T27" s="448"/>
      <c r="U27" s="448"/>
      <c r="V27" s="448"/>
    </row>
    <row r="28" spans="1:22">
      <c r="A28" s="49" t="s">
        <v>88</v>
      </c>
      <c r="B28" s="8" t="s">
        <v>95</v>
      </c>
      <c r="C28" s="114">
        <v>4500</v>
      </c>
      <c r="D28" s="113">
        <v>6925.15</v>
      </c>
      <c r="E28" s="24">
        <v>0</v>
      </c>
      <c r="F28" s="113">
        <v>0</v>
      </c>
      <c r="G28" s="114">
        <v>0</v>
      </c>
      <c r="H28" s="113">
        <v>0</v>
      </c>
      <c r="I28" s="114">
        <v>0</v>
      </c>
      <c r="J28" s="113">
        <v>0</v>
      </c>
      <c r="K28" s="114">
        <v>0</v>
      </c>
      <c r="L28" s="113">
        <v>0</v>
      </c>
      <c r="M28" s="94">
        <v>3000</v>
      </c>
      <c r="N28" s="143">
        <v>0</v>
      </c>
      <c r="O28" s="24">
        <v>1000</v>
      </c>
      <c r="P28" s="24">
        <v>800</v>
      </c>
      <c r="Q28" s="24"/>
      <c r="R28" s="448"/>
      <c r="S28" s="448"/>
      <c r="T28" s="448"/>
      <c r="U28" s="448"/>
      <c r="V28" s="448"/>
    </row>
    <row r="29" spans="1:22">
      <c r="A29" s="49" t="s">
        <v>88</v>
      </c>
      <c r="B29" s="8" t="s">
        <v>96</v>
      </c>
      <c r="C29" s="24">
        <v>7000</v>
      </c>
      <c r="D29" s="24">
        <v>2508.5300000000002</v>
      </c>
      <c r="E29" s="24">
        <v>250</v>
      </c>
      <c r="F29" s="24">
        <v>180.9</v>
      </c>
      <c r="G29" s="24">
        <v>250</v>
      </c>
      <c r="H29" s="24">
        <v>115.38</v>
      </c>
      <c r="I29" s="24">
        <f>G29*0.75</f>
        <v>187.5</v>
      </c>
      <c r="J29" s="24">
        <v>180.99</v>
      </c>
      <c r="K29" s="24">
        <v>200</v>
      </c>
      <c r="L29" s="24">
        <v>141.53</v>
      </c>
      <c r="M29" s="24">
        <v>200</v>
      </c>
      <c r="N29" s="139">
        <v>112.76</v>
      </c>
      <c r="O29" s="24">
        <v>150</v>
      </c>
      <c r="P29" s="24"/>
      <c r="Q29" s="24">
        <v>200</v>
      </c>
      <c r="R29" s="448"/>
      <c r="S29" s="446">
        <v>50</v>
      </c>
      <c r="T29" s="446">
        <v>30.74</v>
      </c>
      <c r="U29" s="446">
        <v>50</v>
      </c>
      <c r="V29" s="446"/>
    </row>
    <row r="30" spans="1:22">
      <c r="A30" s="49" t="s">
        <v>88</v>
      </c>
      <c r="B30" s="8" t="s">
        <v>97</v>
      </c>
      <c r="C30" s="24">
        <v>600</v>
      </c>
      <c r="D30" s="24">
        <v>0</v>
      </c>
      <c r="E30" s="24">
        <v>5000</v>
      </c>
      <c r="F30" s="24">
        <v>6395.12</v>
      </c>
      <c r="G30" s="24">
        <v>6000</v>
      </c>
      <c r="H30" s="24">
        <v>7270.38</v>
      </c>
      <c r="I30" s="24">
        <v>5500</v>
      </c>
      <c r="J30" s="24">
        <v>6648.7</v>
      </c>
      <c r="K30" s="24">
        <v>5500</v>
      </c>
      <c r="L30" s="24">
        <v>7343.55</v>
      </c>
      <c r="M30" s="24">
        <v>5500</v>
      </c>
      <c r="N30" s="139">
        <v>3704.55</v>
      </c>
      <c r="O30" s="24">
        <v>5500</v>
      </c>
      <c r="P30" s="24">
        <v>3600</v>
      </c>
      <c r="Q30" s="24">
        <v>6000</v>
      </c>
      <c r="R30" s="446">
        <v>6364.18</v>
      </c>
      <c r="S30" s="446">
        <v>6000</v>
      </c>
      <c r="T30" s="446">
        <f>4532.56-T31</f>
        <v>3447.5600000000004</v>
      </c>
      <c r="U30" s="446">
        <v>6000</v>
      </c>
      <c r="V30" s="446"/>
    </row>
    <row r="31" spans="1:22">
      <c r="A31" s="49" t="s">
        <v>88</v>
      </c>
      <c r="B31" s="8" t="s">
        <v>98</v>
      </c>
      <c r="C31" s="24">
        <v>250</v>
      </c>
      <c r="D31" s="24">
        <v>204.63</v>
      </c>
      <c r="E31" s="24">
        <v>1000</v>
      </c>
      <c r="F31" s="24">
        <v>0</v>
      </c>
      <c r="G31" s="24">
        <v>1000</v>
      </c>
      <c r="H31" s="24">
        <v>0</v>
      </c>
      <c r="I31" s="24">
        <v>1000</v>
      </c>
      <c r="J31" s="24">
        <v>0</v>
      </c>
      <c r="K31" s="24">
        <v>1000</v>
      </c>
      <c r="L31" s="24">
        <v>0</v>
      </c>
      <c r="M31" s="24">
        <v>1000</v>
      </c>
      <c r="N31" s="139">
        <v>0</v>
      </c>
      <c r="O31" s="24">
        <v>1085.5999999999999</v>
      </c>
      <c r="P31" s="24">
        <v>1085.5999999999999</v>
      </c>
      <c r="Q31" s="24">
        <v>1085.5999999999999</v>
      </c>
      <c r="R31" s="446">
        <v>1085.5999999999999</v>
      </c>
      <c r="S31" s="446">
        <v>1085.5999999999999</v>
      </c>
      <c r="T31" s="446">
        <v>1085</v>
      </c>
      <c r="U31" s="446">
        <v>542.79999999999995</v>
      </c>
      <c r="V31" s="446"/>
    </row>
    <row r="32" spans="1:22">
      <c r="A32" s="49" t="s">
        <v>88</v>
      </c>
      <c r="B32" s="8" t="s">
        <v>99</v>
      </c>
      <c r="C32" s="24">
        <v>250</v>
      </c>
      <c r="D32" s="24">
        <v>250</v>
      </c>
      <c r="E32" s="24">
        <v>7500</v>
      </c>
      <c r="F32" s="24">
        <v>3040.62</v>
      </c>
      <c r="G32" s="24">
        <v>3500</v>
      </c>
      <c r="H32" s="24">
        <v>5061.6099999999997</v>
      </c>
      <c r="I32" s="24">
        <f>G32*0.75</f>
        <v>2625</v>
      </c>
      <c r="J32" s="24">
        <v>2448.96</v>
      </c>
      <c r="K32" s="24">
        <f>3500-500</f>
        <v>3000</v>
      </c>
      <c r="L32" s="24">
        <v>2120.6</v>
      </c>
      <c r="M32" s="24">
        <v>2800</v>
      </c>
      <c r="N32" s="139">
        <v>466.44</v>
      </c>
      <c r="O32" s="24">
        <v>1000</v>
      </c>
      <c r="P32" s="24"/>
      <c r="Q32" s="24">
        <v>1000</v>
      </c>
      <c r="R32" s="446">
        <v>1611</v>
      </c>
      <c r="S32" s="446">
        <v>1000</v>
      </c>
      <c r="T32" s="446">
        <v>34.24</v>
      </c>
      <c r="U32" s="446"/>
      <c r="V32" s="446"/>
    </row>
    <row r="33" spans="1:22" ht="13.5" thickBot="1">
      <c r="A33" s="49" t="s">
        <v>88</v>
      </c>
      <c r="B33" s="8" t="s">
        <v>100</v>
      </c>
      <c r="C33" s="24">
        <v>0</v>
      </c>
      <c r="D33" s="24">
        <v>0</v>
      </c>
      <c r="E33" s="24">
        <v>250</v>
      </c>
      <c r="F33" s="24">
        <v>250</v>
      </c>
      <c r="G33" s="24">
        <v>250</v>
      </c>
      <c r="H33" s="24">
        <v>0</v>
      </c>
      <c r="I33" s="24">
        <v>0</v>
      </c>
      <c r="J33" s="24">
        <v>0</v>
      </c>
      <c r="K33" s="24">
        <v>0</v>
      </c>
      <c r="L33" s="24">
        <v>0</v>
      </c>
      <c r="M33" s="24">
        <v>0</v>
      </c>
      <c r="N33" s="139">
        <v>0</v>
      </c>
      <c r="O33" s="24"/>
      <c r="P33" s="24"/>
      <c r="Q33" s="24"/>
      <c r="R33" s="541"/>
      <c r="S33" s="541"/>
      <c r="T33" s="541"/>
      <c r="U33" s="541"/>
      <c r="V33" s="541"/>
    </row>
    <row r="34" spans="1:22" ht="13.5" thickBot="1">
      <c r="B34" s="8" t="s">
        <v>101</v>
      </c>
      <c r="C34" s="16">
        <f>SUBTOTAL(109,PresidentExpenses[Budget 10/11])</f>
        <v>72465.179999999993</v>
      </c>
      <c r="D34" s="16">
        <f>SUBTOTAL(109,PresidentExpenses[Actual 10/11])</f>
        <v>67587.520000000004</v>
      </c>
      <c r="E34" s="16">
        <f>SUBTOTAL(109,PresidentExpenses[Budget 11/12])</f>
        <v>73424.600000000006</v>
      </c>
      <c r="F34" s="16">
        <f>SUBTOTAL(109,PresidentExpenses[Actual 11/12])</f>
        <v>65012.750000000007</v>
      </c>
      <c r="G34" s="16">
        <f>SUBTOTAL(109,PresidentExpenses[Budget 12/13])</f>
        <v>76379.464999999997</v>
      </c>
      <c r="H34" s="16">
        <f>SUBTOTAL(109,PresidentExpenses[Actual 12/13])</f>
        <v>78682.950000000012</v>
      </c>
      <c r="I34" s="16">
        <f>SUBTOTAL(109,PresidentExpenses[Budget 13/14])</f>
        <v>100535.62</v>
      </c>
      <c r="J34" s="16">
        <f>SUBTOTAL(109,PresidentExpenses[Actual 13/14])</f>
        <v>104446.23000000001</v>
      </c>
      <c r="K34" s="16">
        <f>SUBTOTAL(109,PresidentExpenses[Budget 14/15])</f>
        <v>86262.399999999994</v>
      </c>
      <c r="L34" s="16">
        <f>SUBTOTAL(109,PresidentExpenses[Actuals 14/15])</f>
        <v>75170.42</v>
      </c>
      <c r="M34" s="16">
        <f>SUBTOTAL(109,PresidentExpenses[Budget 15/16])</f>
        <v>79712.760000000009</v>
      </c>
      <c r="N34" s="140">
        <f>SUBTOTAL(109,PresidentExpenses[Actual 15/16])</f>
        <v>54095.470000000008</v>
      </c>
      <c r="O34" s="16">
        <f>SUBTOTAL(109,PresidentExpenses[Budget 16/17])</f>
        <v>76909.350760000001</v>
      </c>
      <c r="P34" s="16">
        <f>SUBTOTAL(109,PresidentExpenses[Actual 16/17])</f>
        <v>71750.77</v>
      </c>
      <c r="Q34" s="449">
        <f>SUBTOTAL(109,PresidentExpenses[Budget 17/18])</f>
        <v>70981.180000000008</v>
      </c>
      <c r="R34" s="450">
        <f>SUM(R9:R33)</f>
        <v>68167.39</v>
      </c>
      <c r="S34" s="450">
        <f>SUM(S9:S33)</f>
        <v>70468.680000000008</v>
      </c>
      <c r="T34" s="450">
        <f>SUM(T9:T33)</f>
        <v>67122.080000000002</v>
      </c>
      <c r="U34" s="450">
        <f>SUM(U9:U33)</f>
        <v>79615.592839999998</v>
      </c>
      <c r="V34" s="451"/>
    </row>
    <row r="35" spans="1:22" ht="19.5" thickBot="1">
      <c r="B35" s="452" t="s">
        <v>102</v>
      </c>
      <c r="C35" s="27">
        <f>PresidentRevenues[[#Totals],[Budget 10/11]]-PresidentExpenses[[#Totals],[Budget 10/11]]</f>
        <v>-72465.179999999993</v>
      </c>
      <c r="D35" s="27">
        <f>PresidentRevenues[[#Totals],[Actual 10/11]]-PresidentExpenses[[#Totals],[Actual 10/11]]</f>
        <v>-67587.520000000004</v>
      </c>
      <c r="E35" s="27">
        <f>PresidentRevenues[[#Totals],[Budget 11/12]]-PresidentExpenses[[#Totals],[Budget 11/12]]</f>
        <v>-73424.600000000006</v>
      </c>
      <c r="F35" s="27">
        <f>PresidentRevenues[[#Totals],[Actual 11/12]]-PresidentExpenses[[#Totals],[Actual 11/12]]</f>
        <v>-65012.750000000007</v>
      </c>
      <c r="G35" s="27">
        <f>PresidentRevenues[[#Totals],[Budget 12/13]]-PresidentExpenses[[#Totals],[Budget 12/13]]</f>
        <v>-76379.464999999997</v>
      </c>
      <c r="H35" s="27">
        <f>PresidentRevenues[[#Totals],[Actual 12/13]]-PresidentExpenses[[#Totals],[Actual 12/13]]</f>
        <v>-78682.950000000012</v>
      </c>
      <c r="I35" s="27">
        <f>PresidentRevenues[[#Totals],[Budget 13/14]]-PresidentExpenses[[#Totals],[Budget 13/14]]</f>
        <v>-100535.62</v>
      </c>
      <c r="J35" s="27">
        <f>PresidentRevenues[[#Totals],[Actual 13/14]]-PresidentExpenses[[#Totals],[Actual 13/14]]</f>
        <v>-104446.23000000001</v>
      </c>
      <c r="K35" s="27">
        <f>PresidentRevenues[[#Totals],[Budget 14/15]]-PresidentExpenses[[#Totals],[Budget 14/15]]</f>
        <v>-86262.399999999994</v>
      </c>
      <c r="L35" s="27">
        <f>PresidentRevenues[[#Totals],[Actuals 14/15]]-PresidentExpenses[[#Totals],[Actuals 14/15]]</f>
        <v>-75170.42</v>
      </c>
      <c r="M35" s="27">
        <f>PresidentRevenues[[#Totals],[Budget 15/16]]-PresidentExpenses[[#Totals],[Budget 15/16]]</f>
        <v>-79712.760000000009</v>
      </c>
      <c r="N35" s="27">
        <f>PresidentRevenues[[#Totals],[Actuals 15/16]]-PresidentExpenses[[#Totals],[Actual 15/16]]</f>
        <v>-54095.470000000008</v>
      </c>
      <c r="O35" s="30">
        <f>PresidentRevenues[[#Totals],[Budget 16/17]]-PresidentExpenses[[#Totals],[Budget 16/17]]</f>
        <v>-76909.350760000001</v>
      </c>
      <c r="P35" s="30">
        <f>PresidentRevenues[[#Totals],[Actual 16/17]]-PresidentExpenses[[#Totals],[Actual 16/17]]</f>
        <v>-71750.77</v>
      </c>
      <c r="Q35" s="299">
        <f>PresidentRevenues[[#Totals],[Budget 17/18]]-PresidentExpenses[[#Totals],[Budget 17/18]]</f>
        <v>-70981.180000000008</v>
      </c>
      <c r="R35" s="299">
        <f>-SUM(R9:R33)</f>
        <v>-68167.39</v>
      </c>
      <c r="S35" s="299">
        <f>-SUM(S34)</f>
        <v>-70468.680000000008</v>
      </c>
      <c r="T35" s="299">
        <f>-SUM(T34)</f>
        <v>-67122.080000000002</v>
      </c>
      <c r="U35" s="299">
        <f>-SUM(U34)</f>
        <v>-79615.592839999998</v>
      </c>
      <c r="V35" s="299"/>
    </row>
    <row r="40" spans="1:22">
      <c r="F40" s="105"/>
      <c r="G40" s="104"/>
    </row>
    <row r="41" spans="1:22">
      <c r="F41" s="105"/>
      <c r="G41" s="104"/>
    </row>
    <row r="42" spans="1:22">
      <c r="F42" s="105"/>
      <c r="G42" s="104"/>
    </row>
    <row r="43" spans="1:22">
      <c r="F43" s="105"/>
      <c r="G43" s="104"/>
    </row>
    <row r="44" spans="1:22">
      <c r="F44" s="105"/>
      <c r="G44" s="104"/>
    </row>
    <row r="45" spans="1:22">
      <c r="F45" s="105"/>
      <c r="G45" s="104"/>
    </row>
    <row r="46" spans="1:22">
      <c r="F46" s="105"/>
      <c r="G46" s="104"/>
    </row>
    <row r="47" spans="1:22">
      <c r="F47" s="105"/>
      <c r="G47" s="104"/>
    </row>
    <row r="48" spans="1:22">
      <c r="F48" s="105"/>
      <c r="G48" s="104"/>
    </row>
    <row r="49" spans="6:7">
      <c r="F49" s="105"/>
      <c r="G49" s="104"/>
    </row>
  </sheetData>
  <mergeCells count="1">
    <mergeCell ref="A1:B1"/>
  </mergeCells>
  <pageMargins left="0" right="0" top="0.98425196850393704" bottom="0.98425196850393704" header="0.51181102362204722" footer="0.51181102362204722"/>
  <pageSetup paperSize="5" orientation="landscape" r:id="rId1"/>
  <headerFooter alignWithMargins="0"/>
  <legacyDrawing r:id="rId2"/>
  <tableParts count="2">
    <tablePart r:id="rId3"/>
    <tablePart r:id="rId4"/>
  </tableParts>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92D050"/>
    <pageSetUpPr fitToPage="1"/>
  </sheetPr>
  <dimension ref="A1:Q27"/>
  <sheetViews>
    <sheetView zoomScale="95" zoomScaleNormal="95" workbookViewId="0">
      <selection activeCell="P23" sqref="P23"/>
    </sheetView>
  </sheetViews>
  <sheetFormatPr defaultColWidth="10" defaultRowHeight="12.75"/>
  <cols>
    <col min="1" max="1" width="12.140625" style="239" bestFit="1" customWidth="1"/>
    <col min="2" max="2" width="46" style="239" customWidth="1"/>
    <col min="3" max="3" width="12.42578125" style="239" hidden="1" customWidth="1"/>
    <col min="4" max="4" width="13.28515625" style="239" hidden="1" customWidth="1"/>
    <col min="5" max="8" width="14.140625" style="239" hidden="1" customWidth="1"/>
    <col min="9" max="13" width="15.85546875" style="239" hidden="1" customWidth="1"/>
    <col min="14" max="14" width="14.140625" style="239" bestFit="1" customWidth="1"/>
    <col min="15" max="15" width="14.140625" style="255" bestFit="1" customWidth="1"/>
    <col min="16" max="16" width="12.42578125" style="239" bestFit="1" customWidth="1"/>
    <col min="17" max="16384" width="10" style="239"/>
  </cols>
  <sheetData>
    <row r="1" spans="1:17" s="226" customFormat="1" ht="21">
      <c r="B1" s="235" t="s">
        <v>798</v>
      </c>
      <c r="C1" s="239"/>
      <c r="D1" s="239"/>
      <c r="E1" s="239"/>
      <c r="F1" s="239"/>
      <c r="G1" s="239"/>
      <c r="H1" s="239"/>
      <c r="I1" s="239"/>
      <c r="J1" s="239"/>
      <c r="K1" s="239"/>
      <c r="L1" s="239"/>
      <c r="M1" s="239"/>
      <c r="N1" s="255"/>
      <c r="O1" s="239"/>
    </row>
    <row r="2" spans="1:17" s="226" customFormat="1" ht="15">
      <c r="B2" s="234" t="s">
        <v>805</v>
      </c>
      <c r="C2" s="239"/>
      <c r="D2" s="239"/>
      <c r="E2" s="239"/>
      <c r="F2" s="239"/>
      <c r="G2" s="239"/>
      <c r="H2" s="239"/>
      <c r="I2" s="239"/>
      <c r="J2" s="239"/>
      <c r="K2" s="239"/>
      <c r="L2" s="239"/>
      <c r="M2" s="239"/>
      <c r="N2" s="255"/>
      <c r="O2" s="239"/>
    </row>
    <row r="3" spans="1:17" s="226" customFormat="1" ht="15">
      <c r="B3" s="239" t="s">
        <v>47</v>
      </c>
      <c r="C3" s="510" t="s">
        <v>52</v>
      </c>
      <c r="D3" s="510" t="s">
        <v>54</v>
      </c>
      <c r="E3" s="510" t="s">
        <v>55</v>
      </c>
      <c r="F3" s="510" t="s">
        <v>56</v>
      </c>
      <c r="G3" s="510" t="s">
        <v>104</v>
      </c>
      <c r="H3" s="510" t="s">
        <v>29</v>
      </c>
      <c r="I3" s="511" t="s">
        <v>30</v>
      </c>
      <c r="J3" s="236" t="s">
        <v>31</v>
      </c>
      <c r="K3" s="253" t="s">
        <v>32</v>
      </c>
      <c r="L3" s="252" t="s">
        <v>33</v>
      </c>
      <c r="M3" s="253" t="s">
        <v>34</v>
      </c>
      <c r="N3" s="262" t="s">
        <v>6</v>
      </c>
      <c r="O3" s="262" t="s">
        <v>7</v>
      </c>
      <c r="P3" s="236" t="s">
        <v>8</v>
      </c>
      <c r="Q3" s="236" t="s">
        <v>35</v>
      </c>
    </row>
    <row r="4" spans="1:17" s="226" customFormat="1" ht="15">
      <c r="B4" s="239" t="s">
        <v>289</v>
      </c>
      <c r="C4" s="254"/>
      <c r="D4" s="254"/>
      <c r="E4" s="254"/>
      <c r="F4" s="254">
        <v>0</v>
      </c>
      <c r="G4" s="254">
        <v>0</v>
      </c>
      <c r="H4" s="254">
        <v>0</v>
      </c>
      <c r="I4" s="254">
        <v>0</v>
      </c>
      <c r="J4" s="254">
        <v>0</v>
      </c>
      <c r="K4" s="239"/>
      <c r="L4" s="239"/>
      <c r="M4" s="239"/>
      <c r="N4" s="255"/>
      <c r="O4" s="255"/>
      <c r="P4" s="239"/>
      <c r="Q4" s="239"/>
    </row>
    <row r="5" spans="1:17" s="226" customFormat="1" ht="15">
      <c r="B5" s="12" t="s">
        <v>13</v>
      </c>
      <c r="C5" s="16">
        <f>SUBTOTAL(109,CommunicationsRevenues16[Budget 12/13])</f>
        <v>0</v>
      </c>
      <c r="D5" s="16">
        <f>SUBTOTAL(109,CommunicationsRevenues16[Budget 13/14])</f>
        <v>0</v>
      </c>
      <c r="E5" s="16">
        <f>SUBTOTAL(109,CommunicationsRevenues16[Actual 13/14])</f>
        <v>0</v>
      </c>
      <c r="F5" s="16">
        <f>SUBTOTAL(109,CommunicationsRevenues16[Budget 14/15])</f>
        <v>0</v>
      </c>
      <c r="G5" s="16">
        <f>SUBTOTAL(109,CommunicationsRevenues16[Actual 14/15])</f>
        <v>0</v>
      </c>
      <c r="H5" s="16">
        <f>SUBTOTAL(109,CommunicationsRevenues16[Budget 15/16])</f>
        <v>0</v>
      </c>
      <c r="I5" s="16">
        <f>SUBTOTAL(109,CommunicationsRevenues16[Actual 15/16])</f>
        <v>0</v>
      </c>
      <c r="J5" s="20">
        <f>SUM(CommunicationsRevenues16[Budget 16/17])</f>
        <v>0</v>
      </c>
      <c r="K5" s="20">
        <f>SUM(CommunicationsRevenues16[Actual 16/17])</f>
        <v>0</v>
      </c>
      <c r="L5" s="20">
        <f>SUM(CommunicationsRevenues16[Budget 17/18])</f>
        <v>0</v>
      </c>
      <c r="M5" s="20">
        <f>SUM(CommunicationsRevenues16[Actual 17/18])</f>
        <v>0</v>
      </c>
      <c r="N5" s="16">
        <f>SUM(CommunicationsRevenues16[Budget 18/19])</f>
        <v>0</v>
      </c>
      <c r="O5" s="16">
        <f>SUM(CommunicationsRevenues16[Actual 18/19])</f>
        <v>0</v>
      </c>
      <c r="P5" s="16">
        <f>SUM(CommunicationsRevenues16[Budget 19/20])</f>
        <v>0</v>
      </c>
      <c r="Q5" s="8"/>
    </row>
    <row r="6" spans="1:17" s="226" customFormat="1" ht="15">
      <c r="B6" s="239"/>
      <c r="C6" s="239"/>
      <c r="D6" s="239"/>
      <c r="E6" s="239"/>
      <c r="F6" s="239"/>
      <c r="G6" s="239"/>
      <c r="H6" s="239"/>
      <c r="I6" s="239"/>
      <c r="J6" s="239"/>
      <c r="K6" s="239"/>
      <c r="L6" s="239"/>
      <c r="M6" s="239"/>
      <c r="N6" s="255"/>
      <c r="O6" s="239"/>
    </row>
    <row r="7" spans="1:17" s="226" customFormat="1" ht="15">
      <c r="B7" s="239" t="s">
        <v>61</v>
      </c>
      <c r="C7" s="510" t="s">
        <v>52</v>
      </c>
      <c r="D7" s="510" t="s">
        <v>54</v>
      </c>
      <c r="E7" s="510" t="s">
        <v>55</v>
      </c>
      <c r="F7" s="510" t="s">
        <v>56</v>
      </c>
      <c r="G7" s="510" t="s">
        <v>104</v>
      </c>
      <c r="H7" s="510" t="s">
        <v>29</v>
      </c>
      <c r="I7" s="511" t="s">
        <v>30</v>
      </c>
      <c r="J7" s="236" t="s">
        <v>31</v>
      </c>
      <c r="K7" s="253" t="s">
        <v>32</v>
      </c>
      <c r="L7" s="252" t="s">
        <v>33</v>
      </c>
      <c r="M7" s="253" t="s">
        <v>34</v>
      </c>
      <c r="N7" s="262" t="s">
        <v>6</v>
      </c>
      <c r="O7" s="262" t="s">
        <v>7</v>
      </c>
      <c r="P7" s="236" t="s">
        <v>8</v>
      </c>
      <c r="Q7" s="236" t="s">
        <v>35</v>
      </c>
    </row>
    <row r="8" spans="1:17" s="226" customFormat="1" ht="15">
      <c r="A8" s="226" t="s">
        <v>835</v>
      </c>
      <c r="B8" s="239" t="s">
        <v>836</v>
      </c>
      <c r="C8" s="17">
        <v>25000</v>
      </c>
      <c r="D8" s="17">
        <v>20000</v>
      </c>
      <c r="E8" s="17">
        <v>22782.66</v>
      </c>
      <c r="F8" s="17">
        <v>22000</v>
      </c>
      <c r="G8" s="17">
        <v>21170.17</v>
      </c>
      <c r="H8" s="17">
        <v>18000</v>
      </c>
      <c r="I8" s="17">
        <v>19329.71</v>
      </c>
      <c r="J8" s="17">
        <v>18000</v>
      </c>
      <c r="K8" s="239">
        <v>10588.91</v>
      </c>
      <c r="L8" s="260">
        <v>18000</v>
      </c>
      <c r="M8" s="260">
        <v>7470.7</v>
      </c>
      <c r="N8" s="255">
        <v>15000</v>
      </c>
      <c r="O8" s="255">
        <v>18630.72</v>
      </c>
      <c r="P8" s="401">
        <v>20707.5</v>
      </c>
      <c r="Q8" s="259"/>
    </row>
    <row r="9" spans="1:17" s="226" customFormat="1" ht="15">
      <c r="A9" s="226" t="s">
        <v>837</v>
      </c>
      <c r="B9" s="239" t="s">
        <v>838</v>
      </c>
      <c r="C9" s="17">
        <v>500</v>
      </c>
      <c r="D9" s="17">
        <v>375.03</v>
      </c>
      <c r="E9" s="17">
        <v>276.98</v>
      </c>
      <c r="F9" s="17">
        <v>375.03</v>
      </c>
      <c r="G9" s="17">
        <v>276.92</v>
      </c>
      <c r="H9" s="17">
        <v>375</v>
      </c>
      <c r="I9" s="17">
        <v>246.57</v>
      </c>
      <c r="J9" s="17">
        <v>600</v>
      </c>
      <c r="K9" s="261">
        <v>306.14</v>
      </c>
      <c r="L9" s="260">
        <v>600</v>
      </c>
      <c r="M9" s="260">
        <v>558.58000000000004</v>
      </c>
      <c r="N9" s="255">
        <v>600</v>
      </c>
      <c r="O9" s="255">
        <v>479.94</v>
      </c>
      <c r="P9" s="259">
        <v>900</v>
      </c>
      <c r="Q9" s="259"/>
    </row>
    <row r="10" spans="1:17" s="226" customFormat="1" ht="15">
      <c r="A10" s="226" t="s">
        <v>839</v>
      </c>
      <c r="B10" s="239" t="s">
        <v>840</v>
      </c>
      <c r="C10" s="17">
        <v>0</v>
      </c>
      <c r="D10" s="17">
        <v>0</v>
      </c>
      <c r="E10" s="17">
        <v>0</v>
      </c>
      <c r="F10" s="17">
        <v>0</v>
      </c>
      <c r="G10" s="17">
        <v>0</v>
      </c>
      <c r="H10" s="17">
        <v>240</v>
      </c>
      <c r="I10" s="17">
        <v>380</v>
      </c>
      <c r="J10" s="17">
        <v>390</v>
      </c>
      <c r="K10" s="261">
        <v>240</v>
      </c>
      <c r="L10" s="260">
        <v>390</v>
      </c>
      <c r="M10" s="260">
        <v>160</v>
      </c>
      <c r="N10" s="255">
        <v>240</v>
      </c>
      <c r="O10" s="255">
        <v>220</v>
      </c>
      <c r="P10" s="259">
        <v>240</v>
      </c>
      <c r="Q10" s="259"/>
    </row>
    <row r="11" spans="1:17" s="226" customFormat="1" ht="15">
      <c r="B11" s="239" t="s">
        <v>841</v>
      </c>
      <c r="C11" s="17">
        <v>0</v>
      </c>
      <c r="D11" s="17">
        <v>0</v>
      </c>
      <c r="E11" s="17">
        <v>0</v>
      </c>
      <c r="F11" s="17">
        <v>0</v>
      </c>
      <c r="G11" s="17">
        <v>0</v>
      </c>
      <c r="H11" s="17">
        <v>0</v>
      </c>
      <c r="I11" s="17">
        <v>0</v>
      </c>
      <c r="J11" s="17">
        <v>0</v>
      </c>
      <c r="K11" s="261"/>
      <c r="L11" s="260"/>
      <c r="M11" s="260"/>
      <c r="N11" s="255"/>
      <c r="O11" s="255"/>
      <c r="P11" s="259"/>
      <c r="Q11" s="259"/>
    </row>
    <row r="12" spans="1:17" s="226" customFormat="1" ht="15">
      <c r="A12" s="226" t="s">
        <v>842</v>
      </c>
      <c r="B12" s="239" t="s">
        <v>843</v>
      </c>
      <c r="C12" s="17">
        <v>25</v>
      </c>
      <c r="D12" s="17">
        <v>25</v>
      </c>
      <c r="E12" s="17">
        <v>20.9</v>
      </c>
      <c r="F12" s="17">
        <v>25</v>
      </c>
      <c r="G12" s="17" t="s">
        <v>844</v>
      </c>
      <c r="H12" s="17">
        <v>25</v>
      </c>
      <c r="I12" s="17">
        <v>0</v>
      </c>
      <c r="J12" s="17">
        <v>25</v>
      </c>
      <c r="K12" s="261"/>
      <c r="L12" s="260">
        <v>25</v>
      </c>
      <c r="M12" s="260">
        <v>15.09</v>
      </c>
      <c r="N12" s="255">
        <v>25</v>
      </c>
      <c r="O12" s="255"/>
      <c r="P12" s="259">
        <v>25</v>
      </c>
      <c r="Q12" s="259"/>
    </row>
    <row r="13" spans="1:17" s="226" customFormat="1" ht="15">
      <c r="A13" s="226" t="s">
        <v>845</v>
      </c>
      <c r="B13" s="239" t="s">
        <v>846</v>
      </c>
      <c r="C13" s="17">
        <v>500</v>
      </c>
      <c r="D13" s="17">
        <v>375.03</v>
      </c>
      <c r="E13" s="17">
        <v>97.86</v>
      </c>
      <c r="F13" s="17">
        <v>200</v>
      </c>
      <c r="G13" s="17" t="s">
        <v>844</v>
      </c>
      <c r="H13" s="17">
        <v>100</v>
      </c>
      <c r="I13" s="17">
        <v>0</v>
      </c>
      <c r="J13" s="17">
        <v>100</v>
      </c>
      <c r="K13" s="261">
        <v>98.37</v>
      </c>
      <c r="L13" s="260">
        <v>100</v>
      </c>
      <c r="M13" s="260">
        <v>212.58</v>
      </c>
      <c r="N13" s="255">
        <v>200</v>
      </c>
      <c r="O13" s="255">
        <v>143.18</v>
      </c>
      <c r="P13" s="259">
        <v>200</v>
      </c>
      <c r="Q13" s="259"/>
    </row>
    <row r="14" spans="1:17" s="226" customFormat="1" ht="15">
      <c r="A14" s="226" t="s">
        <v>847</v>
      </c>
      <c r="B14" s="239" t="s">
        <v>848</v>
      </c>
      <c r="C14" s="17">
        <v>350</v>
      </c>
      <c r="D14" s="17">
        <v>500</v>
      </c>
      <c r="E14" s="17"/>
      <c r="F14" s="17">
        <v>500</v>
      </c>
      <c r="G14" s="17" t="s">
        <v>844</v>
      </c>
      <c r="H14" s="17">
        <v>200</v>
      </c>
      <c r="I14" s="17">
        <v>0</v>
      </c>
      <c r="J14" s="17">
        <v>100</v>
      </c>
      <c r="K14" s="261">
        <v>38.06</v>
      </c>
      <c r="L14" s="260">
        <v>100</v>
      </c>
      <c r="M14" s="260">
        <v>198.99</v>
      </c>
      <c r="N14" s="255">
        <v>200</v>
      </c>
      <c r="O14" s="255">
        <v>25.31</v>
      </c>
      <c r="P14" s="259">
        <v>100</v>
      </c>
      <c r="Q14" s="259"/>
    </row>
    <row r="15" spans="1:17" s="226" customFormat="1" ht="15">
      <c r="A15" s="226" t="s">
        <v>849</v>
      </c>
      <c r="B15" s="239" t="s">
        <v>850</v>
      </c>
      <c r="C15" s="17">
        <v>800</v>
      </c>
      <c r="D15" s="17">
        <v>800</v>
      </c>
      <c r="E15" s="17">
        <v>1839.08</v>
      </c>
      <c r="F15" s="17">
        <v>800</v>
      </c>
      <c r="G15" s="17">
        <v>659.67</v>
      </c>
      <c r="H15" s="17">
        <v>800</v>
      </c>
      <c r="I15" s="17">
        <v>1040.26</v>
      </c>
      <c r="J15" s="17">
        <v>600</v>
      </c>
      <c r="K15" s="261">
        <v>807.13</v>
      </c>
      <c r="L15" s="260">
        <v>600</v>
      </c>
      <c r="M15" s="260"/>
      <c r="N15" s="255">
        <v>300</v>
      </c>
      <c r="O15" s="255">
        <v>62.28</v>
      </c>
      <c r="P15" s="259">
        <v>150</v>
      </c>
      <c r="Q15" s="259"/>
    </row>
    <row r="16" spans="1:17" s="226" customFormat="1" ht="15">
      <c r="A16" s="226" t="s">
        <v>851</v>
      </c>
      <c r="B16" s="239" t="s">
        <v>852</v>
      </c>
      <c r="C16" s="17">
        <v>4000</v>
      </c>
      <c r="D16" s="17">
        <v>3000</v>
      </c>
      <c r="E16" s="17">
        <v>1476.74</v>
      </c>
      <c r="F16" s="17">
        <v>2000</v>
      </c>
      <c r="G16" s="17">
        <v>2003.8</v>
      </c>
      <c r="H16" s="17">
        <v>2000</v>
      </c>
      <c r="I16" s="17">
        <v>1363.56</v>
      </c>
      <c r="J16" s="17">
        <v>2000</v>
      </c>
      <c r="K16" s="261">
        <v>1146.6600000000001</v>
      </c>
      <c r="L16" s="260">
        <v>2000</v>
      </c>
      <c r="M16" s="260">
        <v>1025.19</v>
      </c>
      <c r="N16" s="255">
        <v>1000</v>
      </c>
      <c r="O16" s="255">
        <v>315</v>
      </c>
      <c r="P16" s="259">
        <v>1000</v>
      </c>
      <c r="Q16" s="259"/>
    </row>
    <row r="17" spans="1:17" s="226" customFormat="1" ht="15">
      <c r="A17" s="226" t="s">
        <v>853</v>
      </c>
      <c r="B17" s="239" t="s">
        <v>854</v>
      </c>
      <c r="C17" s="17">
        <v>1200</v>
      </c>
      <c r="D17" s="17">
        <v>1200</v>
      </c>
      <c r="E17" s="17">
        <v>93.48</v>
      </c>
      <c r="F17" s="17">
        <v>800</v>
      </c>
      <c r="G17" s="17" t="s">
        <v>844</v>
      </c>
      <c r="H17" s="17">
        <v>800</v>
      </c>
      <c r="I17" s="17">
        <v>264.38</v>
      </c>
      <c r="J17" s="17">
        <v>1400</v>
      </c>
      <c r="K17" s="261">
        <v>123.94</v>
      </c>
      <c r="L17" s="260">
        <v>1400</v>
      </c>
      <c r="M17" s="260"/>
      <c r="N17" s="255">
        <v>750</v>
      </c>
      <c r="O17" s="255">
        <v>625.04</v>
      </c>
      <c r="P17" s="259">
        <v>2200</v>
      </c>
      <c r="Q17" s="259"/>
    </row>
    <row r="18" spans="1:17" s="226" customFormat="1" ht="15">
      <c r="A18" s="226" t="s">
        <v>855</v>
      </c>
      <c r="B18" s="239" t="s">
        <v>856</v>
      </c>
      <c r="C18" s="17">
        <v>1500</v>
      </c>
      <c r="D18" s="17">
        <v>1000</v>
      </c>
      <c r="E18" s="17"/>
      <c r="F18" s="17">
        <v>500</v>
      </c>
      <c r="G18" s="17">
        <v>412.1</v>
      </c>
      <c r="H18" s="17">
        <v>500</v>
      </c>
      <c r="I18" s="17">
        <v>339</v>
      </c>
      <c r="J18" s="17">
        <v>500</v>
      </c>
      <c r="K18" s="261"/>
      <c r="L18" s="260">
        <v>500</v>
      </c>
      <c r="M18" s="260"/>
      <c r="N18" s="255">
        <v>500</v>
      </c>
      <c r="O18" s="255">
        <v>271</v>
      </c>
      <c r="P18" s="259">
        <v>300</v>
      </c>
      <c r="Q18" s="259"/>
    </row>
    <row r="19" spans="1:17" s="226" customFormat="1" ht="15">
      <c r="B19" s="239" t="s">
        <v>857</v>
      </c>
      <c r="C19" s="17">
        <v>16500</v>
      </c>
      <c r="D19" s="17">
        <v>16500</v>
      </c>
      <c r="E19" s="17">
        <v>28075.39</v>
      </c>
      <c r="F19" s="17" t="s">
        <v>844</v>
      </c>
      <c r="G19" s="17">
        <v>137.41</v>
      </c>
      <c r="H19" s="17" t="s">
        <v>844</v>
      </c>
      <c r="I19" s="17"/>
      <c r="J19" s="17"/>
      <c r="K19" s="261"/>
      <c r="L19" s="260"/>
      <c r="M19" s="260"/>
      <c r="N19" s="255"/>
      <c r="O19" s="255"/>
      <c r="P19" s="259"/>
      <c r="Q19" s="259"/>
    </row>
    <row r="20" spans="1:17" s="226" customFormat="1" ht="15">
      <c r="B20" s="239" t="s">
        <v>858</v>
      </c>
      <c r="C20" s="17">
        <v>1500</v>
      </c>
      <c r="D20" s="17">
        <v>786.78</v>
      </c>
      <c r="E20" s="17">
        <v>1688.1</v>
      </c>
      <c r="F20" s="17">
        <v>2327.04</v>
      </c>
      <c r="G20" s="17">
        <v>1310.53</v>
      </c>
      <c r="H20" s="17">
        <v>2177.81</v>
      </c>
      <c r="I20" s="17">
        <v>2177.7600000000002</v>
      </c>
      <c r="J20" s="17">
        <v>2177</v>
      </c>
      <c r="K20" s="261">
        <v>1538.76</v>
      </c>
      <c r="L20" s="260">
        <v>2177</v>
      </c>
      <c r="M20" s="260">
        <v>899.8</v>
      </c>
      <c r="N20" s="255"/>
      <c r="O20" s="255">
        <v>99.89</v>
      </c>
      <c r="P20" s="259">
        <v>408</v>
      </c>
      <c r="Q20" s="259"/>
    </row>
    <row r="21" spans="1:17" s="226" customFormat="1" ht="15">
      <c r="A21" s="226" t="s">
        <v>859</v>
      </c>
      <c r="B21" s="239" t="s">
        <v>860</v>
      </c>
      <c r="C21" s="17">
        <v>3000</v>
      </c>
      <c r="D21" s="17">
        <v>2000</v>
      </c>
      <c r="E21" s="17">
        <v>1319.8</v>
      </c>
      <c r="F21" s="17">
        <v>2000</v>
      </c>
      <c r="G21" s="17">
        <v>3141.6</v>
      </c>
      <c r="H21" s="17">
        <v>2000</v>
      </c>
      <c r="I21" s="17">
        <v>1245.28</v>
      </c>
      <c r="J21" s="17">
        <v>1000</v>
      </c>
      <c r="K21" s="261">
        <v>1334.17</v>
      </c>
      <c r="L21" s="260">
        <v>1000</v>
      </c>
      <c r="M21" s="260">
        <v>255</v>
      </c>
      <c r="N21" s="255">
        <v>750</v>
      </c>
      <c r="O21" s="255">
        <v>0.56999999999999995</v>
      </c>
      <c r="P21" s="259">
        <v>750</v>
      </c>
      <c r="Q21" s="259"/>
    </row>
    <row r="22" spans="1:17" s="226" customFormat="1" ht="15">
      <c r="B22" s="239" t="s">
        <v>861</v>
      </c>
      <c r="C22" s="17">
        <v>1000</v>
      </c>
      <c r="D22" s="17">
        <v>1000</v>
      </c>
      <c r="E22" s="17">
        <v>40.68</v>
      </c>
      <c r="F22" s="17">
        <v>500</v>
      </c>
      <c r="G22" s="17" t="s">
        <v>844</v>
      </c>
      <c r="H22" s="17">
        <v>200</v>
      </c>
      <c r="I22" s="17">
        <v>0</v>
      </c>
      <c r="J22" s="17">
        <v>100</v>
      </c>
      <c r="K22" s="261"/>
      <c r="L22" s="260">
        <v>100</v>
      </c>
      <c r="M22" s="260"/>
      <c r="N22" s="255"/>
      <c r="O22" s="255"/>
      <c r="P22" s="259"/>
      <c r="Q22" s="259"/>
    </row>
    <row r="23" spans="1:17" s="226" customFormat="1" ht="15">
      <c r="A23" s="226" t="s">
        <v>859</v>
      </c>
      <c r="B23" s="239" t="s">
        <v>862</v>
      </c>
      <c r="C23" s="17">
        <v>3000</v>
      </c>
      <c r="D23" s="17">
        <v>2000</v>
      </c>
      <c r="E23" s="17"/>
      <c r="F23" s="17">
        <v>1000</v>
      </c>
      <c r="G23" s="17">
        <v>1136.73</v>
      </c>
      <c r="H23" s="17">
        <v>1000</v>
      </c>
      <c r="I23" s="17">
        <v>700</v>
      </c>
      <c r="J23" s="17">
        <v>700</v>
      </c>
      <c r="K23" s="261"/>
      <c r="L23" s="260">
        <v>700</v>
      </c>
      <c r="M23" s="260"/>
      <c r="N23" s="255">
        <v>700</v>
      </c>
      <c r="O23" s="255"/>
      <c r="P23" s="259">
        <v>500</v>
      </c>
      <c r="Q23" s="259"/>
    </row>
    <row r="24" spans="1:17" s="226" customFormat="1" ht="15">
      <c r="A24" s="226" t="s">
        <v>859</v>
      </c>
      <c r="B24" s="239" t="s">
        <v>863</v>
      </c>
      <c r="C24" s="17"/>
      <c r="D24" s="17"/>
      <c r="E24" s="17"/>
      <c r="F24" s="17"/>
      <c r="G24" s="17"/>
      <c r="H24" s="17"/>
      <c r="I24" s="17">
        <v>672.88</v>
      </c>
      <c r="J24" s="17">
        <v>1000</v>
      </c>
      <c r="K24" s="239"/>
      <c r="L24" s="260">
        <v>1000</v>
      </c>
      <c r="M24" s="260"/>
      <c r="N24" s="255">
        <v>1000</v>
      </c>
      <c r="O24" s="255"/>
      <c r="P24" s="259">
        <v>1000</v>
      </c>
      <c r="Q24" s="259"/>
    </row>
    <row r="25" spans="1:17" s="226" customFormat="1" ht="15.75" thickBot="1">
      <c r="B25" s="12" t="s">
        <v>13</v>
      </c>
      <c r="C25" s="16">
        <f>SUBTOTAL(109,CommunicationsExpenses17[Budget 12/13])</f>
        <v>58875</v>
      </c>
      <c r="D25" s="16">
        <f>SUBTOTAL(109,CommunicationsExpenses17[Budget 13/14])</f>
        <v>49561.84</v>
      </c>
      <c r="E25" s="16">
        <f>SUBTOTAL(109,CommunicationsExpenses17[Actual 13/14])</f>
        <v>57711.670000000006</v>
      </c>
      <c r="F25" s="16">
        <f>SUBTOTAL(109,CommunicationsExpenses17[Budget 14/15])</f>
        <v>33027.07</v>
      </c>
      <c r="G25" s="16">
        <f>SUBTOTAL(109,CommunicationsExpenses17[Budget 16/17])</f>
        <v>28692</v>
      </c>
      <c r="H25" s="16">
        <f>SUBTOTAL(109,CommunicationsExpenses17[Budget 15/16])</f>
        <v>28417.81</v>
      </c>
      <c r="I25" s="16">
        <f>SUBTOTAL(109,CommunicationsExpenses17[Actual 15/16])</f>
        <v>27759.399999999998</v>
      </c>
      <c r="J25" s="20">
        <f>SUM(CommunicationsExpenses17[Budget 16/17])</f>
        <v>28692</v>
      </c>
      <c r="K25" s="20">
        <f>SUM(CommunicationsExpenses17[Actual 16/17])</f>
        <v>16222.14</v>
      </c>
      <c r="L25" s="20">
        <f>SUM(CommunicationsExpenses17[Budget 17/18])</f>
        <v>28692</v>
      </c>
      <c r="M25" s="16">
        <f>SUM(M8:M24)</f>
        <v>10795.929999999998</v>
      </c>
      <c r="N25" s="16">
        <f>SUM(CommunicationsExpenses17[Budget 18/19])</f>
        <v>21265</v>
      </c>
      <c r="O25" s="16">
        <f>SUM(CommunicationsExpenses17[Actual 18/19])</f>
        <v>20872.93</v>
      </c>
      <c r="P25" s="16">
        <f>SUM(P8:P24)</f>
        <v>28480.5</v>
      </c>
      <c r="Q25" s="412"/>
    </row>
    <row r="26" spans="1:17" s="226" customFormat="1" ht="19.5" thickBot="1">
      <c r="B26" s="513" t="s">
        <v>102</v>
      </c>
      <c r="C26" s="257">
        <f>(CommunicationsRevenues16[[#Totals],[Budget 12/13]]) -CommunicationsExpenses17[[#Totals],[Budget 12/13]]</f>
        <v>-58875</v>
      </c>
      <c r="D26" s="257">
        <f>(CommunicationsRevenues16[[#Totals],[Budget 13/14]]) -CommunicationsExpenses17[[#Totals],[Budget 13/14]]</f>
        <v>-49561.84</v>
      </c>
      <c r="E26" s="257">
        <f>(CommunicationsRevenues16[[#Totals],[Actual 13/14]]) -CommunicationsExpenses17[[#Totals],[Actual 13/14]]</f>
        <v>-57711.670000000006</v>
      </c>
      <c r="F26" s="257">
        <f>(CommunicationsRevenues16[[#Totals],[Budget 14/15]]) -CommunicationsExpenses17[[#Totals],[Budget 14/15]]</f>
        <v>-33027.07</v>
      </c>
      <c r="G26" s="257">
        <f>(CommunicationsRevenues16[[#Totals],[Actual 14/15]]) -CommunicationsExpenses17[[#Totals],[Actual 14/15]]</f>
        <v>-28692</v>
      </c>
      <c r="H26" s="257">
        <f>(CommunicationsRevenues16[[#Totals],[Budget 15/16]]) -CommunicationsExpenses17[[#Totals],[Budget 15/16]]</f>
        <v>-28417.81</v>
      </c>
      <c r="I26" s="257">
        <f>(CommunicationsRevenues16[[#Totals],[Actual 15/16]]) -CommunicationsExpenses17[[#Totals],[Actual 15/16]]</f>
        <v>-27759.399999999998</v>
      </c>
      <c r="J26" s="257">
        <f>CommunicationsRevenues16[[#Totals],[Budget 16/17]]-CommunicationsExpenses17[[#Totals],[Budget 16/17]]</f>
        <v>-28692</v>
      </c>
      <c r="K26" s="257">
        <f>CommunicationsRevenues16[[#Totals],[Actual 16/17]]-CommunicationsExpenses17[[#Totals],[Actual 16/17]]</f>
        <v>-16222.14</v>
      </c>
      <c r="L26" s="257">
        <f>CommunicationsRevenues16[[#Totals],[Budget 17/18]]-CommunicationsExpenses17[[#Totals],[Budget 17/18]]</f>
        <v>-28692</v>
      </c>
      <c r="M26" s="257">
        <f>CommunicationsRevenues16[[#Totals],[Actual 17/18]]-CommunicationsExpenses17[[#Totals],[Actual 17/18]]</f>
        <v>-10795.929999999998</v>
      </c>
      <c r="N26" s="256">
        <f>CommunicationsRevenues16[[#Totals],[Budget 18/19]]-CommunicationsExpenses17[[#Totals],[Budget 18/19]]</f>
        <v>-21265</v>
      </c>
      <c r="O26" s="256">
        <f>CommunicationsRevenues16[[#Totals],[Actual 18/19]]-CommunicationsExpenses17[[#Totals],[Actual 18/19]]</f>
        <v>-20872.93</v>
      </c>
      <c r="P26" s="242">
        <f>-CommunicationsRevenues16[Budget 19/20]-CommunicationsExpenses17[[#Totals],[Budget 19/20]]</f>
        <v>-28480.5</v>
      </c>
      <c r="Q26" s="242"/>
    </row>
    <row r="27" spans="1:17">
      <c r="E27" s="241"/>
      <c r="F27" s="241"/>
    </row>
  </sheetData>
  <pageMargins left="0.7" right="0.7" top="0.75" bottom="0.75" header="0.3" footer="0.3"/>
  <pageSetup orientation="landscape" r:id="rId1"/>
  <legacyDrawing r:id="rId2"/>
  <tableParts count="2">
    <tablePart r:id="rId3"/>
    <tablePart r:id="rId4"/>
  </tableParts>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92D050"/>
    <pageSetUpPr fitToPage="1"/>
  </sheetPr>
  <dimension ref="A1:P18"/>
  <sheetViews>
    <sheetView zoomScaleNormal="100" workbookViewId="0">
      <selection activeCell="O40" sqref="O40"/>
    </sheetView>
  </sheetViews>
  <sheetFormatPr defaultColWidth="10" defaultRowHeight="12.75"/>
  <cols>
    <col min="1" max="1" width="10.7109375" style="239" bestFit="1" customWidth="1"/>
    <col min="2" max="2" width="51.140625" style="239" bestFit="1" customWidth="1"/>
    <col min="3" max="3" width="13.28515625" style="239" hidden="1" customWidth="1"/>
    <col min="4" max="7" width="14.140625" style="239" hidden="1" customWidth="1"/>
    <col min="8" max="10" width="15.85546875" style="239" hidden="1" customWidth="1"/>
    <col min="11" max="12" width="14.140625" style="239" hidden="1" customWidth="1"/>
    <col min="13" max="13" width="14.140625" style="239" bestFit="1" customWidth="1"/>
    <col min="14" max="15" width="15.85546875" style="239" bestFit="1" customWidth="1"/>
    <col min="16" max="16" width="17.7109375" style="239" bestFit="1" customWidth="1"/>
    <col min="17" max="16384" width="10" style="239"/>
  </cols>
  <sheetData>
    <row r="1" spans="1:16" ht="21">
      <c r="B1" s="235" t="s">
        <v>864</v>
      </c>
      <c r="O1" s="514"/>
    </row>
    <row r="2" spans="1:16" ht="15">
      <c r="B2" s="234" t="s">
        <v>805</v>
      </c>
      <c r="O2" s="254"/>
    </row>
    <row r="3" spans="1:16">
      <c r="B3" s="239" t="s">
        <v>47</v>
      </c>
      <c r="C3" s="510" t="s">
        <v>52</v>
      </c>
      <c r="D3" s="510" t="s">
        <v>54</v>
      </c>
      <c r="E3" s="510" t="s">
        <v>56</v>
      </c>
      <c r="F3" s="510" t="s">
        <v>104</v>
      </c>
      <c r="G3" s="510" t="s">
        <v>29</v>
      </c>
      <c r="H3" s="510" t="s">
        <v>30</v>
      </c>
      <c r="I3" s="253" t="s">
        <v>31</v>
      </c>
      <c r="J3" s="264" t="s">
        <v>32</v>
      </c>
      <c r="K3" s="252" t="s">
        <v>33</v>
      </c>
      <c r="L3" s="253" t="s">
        <v>34</v>
      </c>
      <c r="M3" s="252" t="s">
        <v>6</v>
      </c>
      <c r="N3" s="252" t="s">
        <v>7</v>
      </c>
      <c r="O3" s="236" t="s">
        <v>8</v>
      </c>
      <c r="P3" s="236" t="s">
        <v>35</v>
      </c>
    </row>
    <row r="4" spans="1:16">
      <c r="A4" s="263" t="s">
        <v>865</v>
      </c>
      <c r="B4" s="239" t="s">
        <v>289</v>
      </c>
      <c r="C4" s="254">
        <v>45881.5</v>
      </c>
      <c r="D4" s="254">
        <v>40000</v>
      </c>
      <c r="E4" s="254">
        <v>45000</v>
      </c>
      <c r="F4" s="254">
        <v>53530.18</v>
      </c>
      <c r="G4" s="254">
        <v>45000</v>
      </c>
      <c r="H4" s="254">
        <v>46665.59</v>
      </c>
      <c r="I4" s="265">
        <v>45000</v>
      </c>
      <c r="J4" s="265">
        <v>43569.55</v>
      </c>
      <c r="K4" s="265">
        <v>45000</v>
      </c>
      <c r="L4" s="265">
        <v>39658.25</v>
      </c>
      <c r="M4" s="265">
        <v>40000</v>
      </c>
      <c r="N4" s="265">
        <v>46744.39</v>
      </c>
      <c r="O4" s="265">
        <v>40000</v>
      </c>
      <c r="P4" s="265"/>
    </row>
    <row r="5" spans="1:16">
      <c r="A5" s="263"/>
      <c r="B5" s="12" t="s">
        <v>13</v>
      </c>
      <c r="C5" s="16">
        <f>SUBTOTAL(109,CommunicationsRevenues100[Budget 12/13])</f>
        <v>45881.5</v>
      </c>
      <c r="D5" s="16">
        <f>SUBTOTAL(109,CommunicationsRevenues100[Budget 13/14])</f>
        <v>40000</v>
      </c>
      <c r="E5" s="16">
        <f>SUBTOTAL(109,CommunicationsRevenues100[Budget 14/15])</f>
        <v>45000</v>
      </c>
      <c r="F5" s="16">
        <f>SUBTOTAL(109,CommunicationsRevenues100[Actual 14/15])</f>
        <v>53530.18</v>
      </c>
      <c r="G5" s="16">
        <f>SUBTOTAL(109,CommunicationsRevenues100[Budget 15/16])</f>
        <v>45000</v>
      </c>
      <c r="H5" s="16">
        <f>SUBTOTAL(109,CommunicationsRevenues100[Actual 15/16])</f>
        <v>46665.59</v>
      </c>
      <c r="I5" s="16">
        <f>SUBTOTAL(109,CommunicationsRevenues100[Budget 16/17])</f>
        <v>45000</v>
      </c>
      <c r="J5" s="16">
        <f>SUBTOTAL(109,CommunicationsRevenues100[Actual 16/17])</f>
        <v>43569.55</v>
      </c>
      <c r="K5" s="16">
        <f>SUBTOTAL(109,CommunicationsRevenues100[Budget 17/18])</f>
        <v>45000</v>
      </c>
      <c r="L5" s="16">
        <f>SUBTOTAL(109,CommunicationsRevenues100[Actual 17/18])</f>
        <v>39658.25</v>
      </c>
      <c r="M5" s="16">
        <f>SUBTOTAL(109,CommunicationsRevenues100[Budget 18/19])</f>
        <v>40000</v>
      </c>
      <c r="N5" s="16">
        <f>SUBTOTAL(109,CommunicationsRevenues100[Actual 18/19])</f>
        <v>46744.39</v>
      </c>
      <c r="O5" s="16">
        <f>SUBTOTAL(109,CommunicationsRevenues100[Budget 19/20])</f>
        <v>40000</v>
      </c>
      <c r="P5" s="16"/>
    </row>
    <row r="6" spans="1:16">
      <c r="A6" s="263"/>
      <c r="K6" s="254"/>
    </row>
    <row r="7" spans="1:16">
      <c r="B7" s="239" t="s">
        <v>61</v>
      </c>
      <c r="C7" s="510" t="s">
        <v>52</v>
      </c>
      <c r="D7" s="510" t="s">
        <v>54</v>
      </c>
      <c r="E7" s="510" t="s">
        <v>56</v>
      </c>
      <c r="F7" s="510" t="s">
        <v>104</v>
      </c>
      <c r="G7" s="510" t="s">
        <v>29</v>
      </c>
      <c r="H7" s="510" t="s">
        <v>866</v>
      </c>
      <c r="I7" s="253" t="s">
        <v>31</v>
      </c>
      <c r="J7" s="264" t="s">
        <v>32</v>
      </c>
      <c r="K7" s="252" t="s">
        <v>33</v>
      </c>
      <c r="L7" s="253" t="s">
        <v>34</v>
      </c>
      <c r="M7" s="252" t="s">
        <v>6</v>
      </c>
      <c r="N7" s="252" t="s">
        <v>7</v>
      </c>
      <c r="O7" s="236" t="s">
        <v>8</v>
      </c>
      <c r="P7" s="236" t="s">
        <v>35</v>
      </c>
    </row>
    <row r="8" spans="1:16">
      <c r="A8" s="263" t="s">
        <v>867</v>
      </c>
      <c r="B8" s="239" t="s">
        <v>868</v>
      </c>
      <c r="C8" s="254">
        <v>588</v>
      </c>
      <c r="D8" s="254">
        <v>5000</v>
      </c>
      <c r="E8" s="254">
        <v>5000</v>
      </c>
      <c r="F8" s="254">
        <v>5000</v>
      </c>
      <c r="G8" s="254">
        <v>5000</v>
      </c>
      <c r="H8" s="254">
        <v>6176.63</v>
      </c>
      <c r="I8" s="189">
        <v>5000</v>
      </c>
      <c r="J8" s="189">
        <v>7686.8</v>
      </c>
      <c r="K8" s="189">
        <v>6000</v>
      </c>
      <c r="L8" s="189">
        <v>6964.53</v>
      </c>
      <c r="M8" s="189">
        <v>7000</v>
      </c>
      <c r="N8" s="189">
        <v>6103.37</v>
      </c>
      <c r="O8" s="189">
        <v>7000</v>
      </c>
      <c r="P8" s="189"/>
    </row>
    <row r="9" spans="1:16" ht="15">
      <c r="A9" s="263"/>
      <c r="B9" s="247" t="s">
        <v>72</v>
      </c>
      <c r="C9" s="246"/>
      <c r="D9" s="246"/>
      <c r="E9" s="246"/>
      <c r="F9" s="246"/>
      <c r="G9" s="246"/>
      <c r="H9" s="443"/>
      <c r="I9" s="246"/>
      <c r="J9" s="246"/>
      <c r="K9" s="246"/>
      <c r="L9" s="246"/>
      <c r="M9" s="246"/>
      <c r="N9" s="189">
        <v>60</v>
      </c>
      <c r="O9" s="249"/>
      <c r="P9" s="249"/>
    </row>
    <row r="10" spans="1:16">
      <c r="A10" s="263"/>
      <c r="B10" s="239" t="s">
        <v>869</v>
      </c>
      <c r="C10" s="17"/>
      <c r="D10" s="17"/>
      <c r="E10" s="17"/>
      <c r="F10" s="254">
        <v>86.26</v>
      </c>
      <c r="G10" s="17" t="s">
        <v>870</v>
      </c>
      <c r="H10" s="17" t="s">
        <v>871</v>
      </c>
      <c r="I10" s="189"/>
      <c r="J10" s="189"/>
      <c r="K10" s="189"/>
      <c r="L10" s="189">
        <v>46.68</v>
      </c>
      <c r="M10" s="189"/>
      <c r="N10" s="189"/>
      <c r="O10" s="189"/>
      <c r="P10" s="189"/>
    </row>
    <row r="11" spans="1:16">
      <c r="A11" s="263"/>
      <c r="B11" s="239" t="s">
        <v>872</v>
      </c>
      <c r="C11" s="254">
        <v>2365.8000000000002</v>
      </c>
      <c r="D11" s="17" t="s">
        <v>870</v>
      </c>
      <c r="E11" s="17" t="s">
        <v>870</v>
      </c>
      <c r="F11" s="17" t="s">
        <v>870</v>
      </c>
      <c r="G11" s="17" t="s">
        <v>870</v>
      </c>
      <c r="H11" s="17" t="s">
        <v>871</v>
      </c>
      <c r="I11" s="189"/>
      <c r="J11" s="189"/>
      <c r="K11" s="189"/>
      <c r="L11" s="189"/>
      <c r="M11" s="189"/>
      <c r="N11" s="189"/>
      <c r="O11" s="189"/>
      <c r="P11" s="189"/>
    </row>
    <row r="12" spans="1:16">
      <c r="A12" s="263"/>
      <c r="B12" s="239" t="s">
        <v>873</v>
      </c>
      <c r="C12" s="17"/>
      <c r="D12" s="254">
        <v>20</v>
      </c>
      <c r="E12" s="17" t="s">
        <v>870</v>
      </c>
      <c r="F12" s="17" t="s">
        <v>870</v>
      </c>
      <c r="G12" s="17" t="s">
        <v>870</v>
      </c>
      <c r="H12" s="254">
        <v>187.92</v>
      </c>
      <c r="I12" s="189"/>
      <c r="J12" s="189"/>
      <c r="K12" s="189"/>
      <c r="L12" s="189"/>
      <c r="M12" s="189"/>
      <c r="N12" s="189">
        <v>43.36</v>
      </c>
      <c r="O12" s="189"/>
      <c r="P12" s="189"/>
    </row>
    <row r="13" spans="1:16">
      <c r="A13" s="263" t="s">
        <v>874</v>
      </c>
      <c r="B13" s="239" t="s">
        <v>197</v>
      </c>
      <c r="C13" s="254">
        <v>39750</v>
      </c>
      <c r="D13" s="254">
        <v>34500</v>
      </c>
      <c r="E13" s="254">
        <v>30000</v>
      </c>
      <c r="F13" s="254">
        <v>23847.8</v>
      </c>
      <c r="G13" s="254">
        <v>32000</v>
      </c>
      <c r="H13" s="254">
        <v>37657.589999999997</v>
      </c>
      <c r="I13" s="189">
        <v>34000</v>
      </c>
      <c r="J13" s="189">
        <v>25217.200000000001</v>
      </c>
      <c r="K13" s="189">
        <v>35000</v>
      </c>
      <c r="L13" s="189">
        <v>35505.01</v>
      </c>
      <c r="M13" s="189">
        <v>34300</v>
      </c>
      <c r="N13" s="189">
        <v>34022.06</v>
      </c>
      <c r="O13" s="189">
        <v>20000</v>
      </c>
      <c r="P13" s="189"/>
    </row>
    <row r="14" spans="1:16">
      <c r="A14" s="263"/>
      <c r="B14" s="239" t="s">
        <v>220</v>
      </c>
      <c r="C14" s="17"/>
      <c r="D14" s="17" t="s">
        <v>870</v>
      </c>
      <c r="E14" s="17" t="s">
        <v>870</v>
      </c>
      <c r="F14" s="254">
        <v>51.88</v>
      </c>
      <c r="G14" s="17" t="s">
        <v>870</v>
      </c>
      <c r="H14" s="17" t="s">
        <v>871</v>
      </c>
      <c r="I14" s="189"/>
      <c r="J14" s="189"/>
      <c r="K14" s="189"/>
      <c r="L14" s="189"/>
      <c r="M14" s="189"/>
      <c r="N14" s="189">
        <v>-105.8</v>
      </c>
      <c r="O14" s="189"/>
      <c r="P14" s="189"/>
    </row>
    <row r="15" spans="1:16">
      <c r="A15" s="263"/>
      <c r="B15" s="239" t="s">
        <v>875</v>
      </c>
      <c r="C15" s="17"/>
      <c r="D15" s="17" t="s">
        <v>870</v>
      </c>
      <c r="E15" s="17" t="s">
        <v>870</v>
      </c>
      <c r="F15" s="17" t="s">
        <v>870</v>
      </c>
      <c r="G15" s="17" t="s">
        <v>870</v>
      </c>
      <c r="H15" s="17" t="s">
        <v>871</v>
      </c>
      <c r="I15" s="189"/>
      <c r="J15" s="189"/>
      <c r="K15" s="189"/>
      <c r="L15" s="189"/>
      <c r="M15" s="189"/>
      <c r="N15" s="189"/>
      <c r="O15" s="189"/>
      <c r="P15" s="189"/>
    </row>
    <row r="16" spans="1:16" ht="13.5" thickBot="1">
      <c r="B16" s="12" t="s">
        <v>13</v>
      </c>
      <c r="C16" s="16">
        <f>SUBTOTAL(109,CommunicationsExpenses101[Budget 12/13])</f>
        <v>42703.8</v>
      </c>
      <c r="D16" s="16">
        <f>SUBTOTAL(109,CommunicationsExpenses101[Budget 13/14])</f>
        <v>39520</v>
      </c>
      <c r="E16" s="16">
        <f>SUBTOTAL(109,CommunicationsExpenses101[Budget 14/15])</f>
        <v>35000</v>
      </c>
      <c r="F16" s="16">
        <f>SUBTOTAL(109,CommunicationsExpenses101[Actual 14/15])</f>
        <v>28985.94</v>
      </c>
      <c r="G16" s="16">
        <f>SUBTOTAL(109,CommunicationsExpenses101[Budget 15/16])</f>
        <v>37000</v>
      </c>
      <c r="H16" s="16">
        <f>SUBTOTAL(109,CommunicationsExpenses101[Proposed 16/17])</f>
        <v>44022.14</v>
      </c>
      <c r="I16" s="16">
        <f>SUBTOTAL(109,CommunicationsExpenses101[Budget 16/17])</f>
        <v>39000</v>
      </c>
      <c r="J16" s="16">
        <f>SUBTOTAL(109,CommunicationsExpenses101[Actual 16/17])</f>
        <v>32904</v>
      </c>
      <c r="K16" s="16">
        <f>SUBTOTAL(109,CommunicationsExpenses101[Budget 17/18])</f>
        <v>41000</v>
      </c>
      <c r="L16" s="16">
        <f>SUBTOTAL(109,CommunicationsExpenses101[Actual 17/18])</f>
        <v>42516.22</v>
      </c>
      <c r="M16" s="16">
        <f>SUBTOTAL(109,CommunicationsExpenses101[Budget 18/19])</f>
        <v>41300</v>
      </c>
      <c r="N16" s="16">
        <f>SUBTOTAL(109,CommunicationsExpenses101[Actual 18/19])</f>
        <v>40122.989999999991</v>
      </c>
      <c r="O16" s="16">
        <f>SUM(CommunicationsExpenses101[Budget 19/20])</f>
        <v>27000</v>
      </c>
      <c r="P16" s="16"/>
    </row>
    <row r="17" spans="2:16" ht="19.5" thickBot="1">
      <c r="B17" s="513" t="s">
        <v>102</v>
      </c>
      <c r="C17" s="257">
        <f>(CommunicationsRevenues100[[#Totals],[Budget 12/13]]) -CommunicationsExpenses101[[#Totals],[Budget 12/13]]</f>
        <v>3177.6999999999971</v>
      </c>
      <c r="D17" s="257">
        <f>(CommunicationsRevenues100[[#Totals],[Budget 13/14]]) -CommunicationsExpenses101[[#Totals],[Budget 13/14]]</f>
        <v>480</v>
      </c>
      <c r="E17" s="257">
        <f>(CommunicationsRevenues100[[#Totals],[Budget 14/15]]) -CommunicationsExpenses101[[#Totals],[Budget 14/15]]</f>
        <v>10000</v>
      </c>
      <c r="F17" s="257">
        <f>(CommunicationsRevenues100[[#Totals],[Actual 14/15]]) -CommunicationsExpenses101[[#Totals],[Actual 14/15]]</f>
        <v>24544.240000000002</v>
      </c>
      <c r="G17" s="257">
        <f>(CommunicationsRevenues100[[#Totals],[Budget 15/16]]) -CommunicationsExpenses101[[#Totals],[Budget 15/16]]</f>
        <v>8000</v>
      </c>
      <c r="H17" s="257">
        <f>(CommunicationsRevenues100[[#Totals],[Actual 15/16]]) -CommunicationsExpenses101[[#Totals],[Proposed 16/17]]</f>
        <v>2643.4499999999971</v>
      </c>
      <c r="I17" s="257">
        <f>(CommunicationsRevenues100[[#Totals],[Budget 16/17]]) -CommunicationsExpenses101[[#Totals],[Budget 16/17]]</f>
        <v>6000</v>
      </c>
      <c r="J17" s="257">
        <f>(CommunicationsRevenues100[[#Totals],[Actual 16/17]]) -CommunicationsExpenses101[[#Totals],[Actual 16/17]]</f>
        <v>10665.550000000003</v>
      </c>
      <c r="K17" s="257">
        <f>(CommunicationsRevenues100[[#Totals],[Budget 17/18]]) -CommunicationsExpenses101[[#Totals],[Budget 17/18]]</f>
        <v>4000</v>
      </c>
      <c r="L17" s="257">
        <f>(CommunicationsRevenues100[[#Totals],[Actual 17/18]]) -CommunicationsExpenses101[[#Totals],[Actual 17/18]]</f>
        <v>-2857.9700000000012</v>
      </c>
      <c r="M17" s="257">
        <f>(CommunicationsRevenues100[[#Totals],[Budget 18/19]]) -CommunicationsExpenses101[[#Totals],[Budget 18/19]]</f>
        <v>-1300</v>
      </c>
      <c r="N17" s="257">
        <f>(CommunicationsRevenues100[[#Totals],[Actual 18/19]]) -CommunicationsExpenses101[[#Totals],[Actual 18/19]]</f>
        <v>6621.4000000000087</v>
      </c>
      <c r="O17" s="257">
        <f>(CommunicationsRevenues100[[#Totals],[Budget 19/20]]) -CommunicationsExpenses101[[#Totals],[Budget 19/20]]</f>
        <v>13000</v>
      </c>
      <c r="P17" s="257"/>
    </row>
    <row r="18" spans="2:16">
      <c r="D18" s="241"/>
      <c r="E18" s="241"/>
    </row>
  </sheetData>
  <pageMargins left="0.7" right="0.7" top="0.75" bottom="0.75" header="0.3" footer="0.3"/>
  <pageSetup orientation="landscape" r:id="rId1"/>
  <legacyDrawing r:id="rId2"/>
  <tableParts count="2">
    <tablePart r:id="rId3"/>
    <tablePart r:id="rId4"/>
  </tableParts>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92D050"/>
    <pageSetUpPr fitToPage="1"/>
  </sheetPr>
  <dimension ref="A1:O33"/>
  <sheetViews>
    <sheetView zoomScaleNormal="100" workbookViewId="0">
      <selection activeCell="M21" sqref="M21"/>
    </sheetView>
  </sheetViews>
  <sheetFormatPr defaultColWidth="10" defaultRowHeight="12.75"/>
  <cols>
    <col min="1" max="1" width="23.28515625" style="239" bestFit="1" customWidth="1"/>
    <col min="2" max="2" width="46.140625" style="239" customWidth="1"/>
    <col min="3" max="3" width="13.28515625" style="239" hidden="1" customWidth="1"/>
    <col min="4" max="8" width="14.140625" style="239" hidden="1" customWidth="1"/>
    <col min="9" max="10" width="15.85546875" style="239" bestFit="1" customWidth="1"/>
    <col min="11" max="11" width="16.85546875" style="239" customWidth="1"/>
    <col min="12" max="14" width="14.140625" style="239" bestFit="1" customWidth="1"/>
    <col min="15" max="16" width="15.85546875" style="239" bestFit="1" customWidth="1"/>
    <col min="17" max="17" width="17.7109375" style="239" bestFit="1" customWidth="1"/>
    <col min="18" max="16384" width="10" style="239"/>
  </cols>
  <sheetData>
    <row r="1" spans="1:12" ht="21">
      <c r="B1" s="235" t="s">
        <v>800</v>
      </c>
    </row>
    <row r="2" spans="1:12" ht="15">
      <c r="B2" s="234" t="s">
        <v>805</v>
      </c>
    </row>
    <row r="3" spans="1:12">
      <c r="B3" s="239" t="s">
        <v>47</v>
      </c>
      <c r="C3" s="510" t="s">
        <v>29</v>
      </c>
      <c r="D3" s="510" t="s">
        <v>30</v>
      </c>
      <c r="E3" s="511" t="s">
        <v>31</v>
      </c>
      <c r="F3" s="253" t="s">
        <v>32</v>
      </c>
      <c r="G3" s="252" t="s">
        <v>33</v>
      </c>
      <c r="H3" s="253" t="s">
        <v>34</v>
      </c>
      <c r="I3" s="252" t="s">
        <v>6</v>
      </c>
      <c r="J3" s="252" t="s">
        <v>7</v>
      </c>
      <c r="K3" s="236" t="s">
        <v>8</v>
      </c>
      <c r="L3" s="236" t="s">
        <v>35</v>
      </c>
    </row>
    <row r="4" spans="1:12">
      <c r="B4" s="239" t="s">
        <v>289</v>
      </c>
      <c r="C4" s="17">
        <v>0</v>
      </c>
      <c r="D4" s="17">
        <v>0</v>
      </c>
      <c r="E4" s="17">
        <v>0</v>
      </c>
      <c r="F4" s="17"/>
    </row>
    <row r="5" spans="1:12">
      <c r="B5" s="239" t="s">
        <v>876</v>
      </c>
      <c r="C5" s="62"/>
      <c r="D5" s="62"/>
      <c r="E5" s="62"/>
      <c r="F5" s="62"/>
      <c r="H5" s="307"/>
      <c r="I5" s="307"/>
      <c r="J5" s="307"/>
      <c r="K5" s="515">
        <v>500</v>
      </c>
      <c r="L5" s="308"/>
    </row>
    <row r="6" spans="1:12">
      <c r="B6" s="239" t="s">
        <v>106</v>
      </c>
      <c r="C6" s="62"/>
      <c r="D6" s="62"/>
      <c r="E6" s="62"/>
      <c r="F6" s="62"/>
      <c r="H6" s="307"/>
      <c r="I6" s="307"/>
      <c r="J6" s="307"/>
      <c r="K6" s="515">
        <v>2740</v>
      </c>
      <c r="L6" s="308"/>
    </row>
    <row r="7" spans="1:12">
      <c r="B7" s="12" t="s">
        <v>13</v>
      </c>
      <c r="C7" s="16">
        <f>SUBTOTAL(109,MarketingAdvocacyRevenues[Budget 15/16])</f>
        <v>0</v>
      </c>
      <c r="D7" s="16">
        <f>SUBTOTAL(109,MarketingAdvocacyRevenues[Actual 15/16])</f>
        <v>0</v>
      </c>
      <c r="E7" s="16">
        <f>SUBTOTAL(109,MarketingAdvocacyRevenues[Budget 16/17])</f>
        <v>0</v>
      </c>
      <c r="F7" s="16">
        <f>SUBTOTAL(109,MarketingAdvocacyRevenues[Actual 16/17])</f>
        <v>0</v>
      </c>
      <c r="G7" s="16">
        <f>SUBTOTAL(109,MarketingAdvocacyRevenues[Budget 17/18])</f>
        <v>0</v>
      </c>
      <c r="H7" s="16">
        <f>SUBTOTAL(109,MarketingAdvocacyRevenues[Actual 17/18])</f>
        <v>0</v>
      </c>
      <c r="I7" s="16">
        <f>SUBTOTAL(109,MarketingAdvocacyRevenues[Budget 18/19])</f>
        <v>0</v>
      </c>
      <c r="J7" s="16">
        <f>SUBTOTAL(109,MarketingAdvocacyRevenues[Actual 18/19])</f>
        <v>0</v>
      </c>
      <c r="K7" s="20">
        <f>SUM(MarketingAdvocacyRevenues[Budget 19/20])</f>
        <v>3240</v>
      </c>
      <c r="L7" s="16"/>
    </row>
    <row r="8" spans="1:12">
      <c r="A8" s="239" t="s">
        <v>877</v>
      </c>
    </row>
    <row r="9" spans="1:12">
      <c r="A9" s="239" t="s">
        <v>878</v>
      </c>
      <c r="B9" s="239" t="s">
        <v>61</v>
      </c>
      <c r="C9" s="510" t="s">
        <v>29</v>
      </c>
      <c r="D9" s="510" t="s">
        <v>30</v>
      </c>
      <c r="E9" s="511" t="s">
        <v>31</v>
      </c>
      <c r="F9" s="236" t="s">
        <v>32</v>
      </c>
      <c r="G9" s="236" t="s">
        <v>33</v>
      </c>
      <c r="H9" s="253" t="s">
        <v>34</v>
      </c>
      <c r="I9" s="252" t="s">
        <v>6</v>
      </c>
      <c r="J9" s="252" t="s">
        <v>7</v>
      </c>
      <c r="K9" s="236" t="s">
        <v>879</v>
      </c>
      <c r="L9" s="236" t="s">
        <v>880</v>
      </c>
    </row>
    <row r="10" spans="1:12">
      <c r="A10" s="239" t="s">
        <v>881</v>
      </c>
      <c r="B10" s="239" t="s">
        <v>814</v>
      </c>
      <c r="C10" s="17">
        <v>0</v>
      </c>
      <c r="D10" s="17">
        <v>0</v>
      </c>
      <c r="E10" s="17">
        <v>0</v>
      </c>
      <c r="F10" s="17"/>
      <c r="G10" s="189"/>
      <c r="H10" s="189"/>
      <c r="I10" s="189"/>
      <c r="J10" s="189"/>
      <c r="K10" s="248">
        <v>23152.51</v>
      </c>
      <c r="L10" s="189"/>
    </row>
    <row r="11" spans="1:12">
      <c r="B11" s="239" t="s">
        <v>70</v>
      </c>
      <c r="C11" s="17">
        <v>300</v>
      </c>
      <c r="D11" s="17">
        <v>58.07</v>
      </c>
      <c r="E11" s="17">
        <v>300</v>
      </c>
      <c r="F11" s="17">
        <v>78.38</v>
      </c>
      <c r="G11" s="189">
        <v>300</v>
      </c>
      <c r="H11" s="189">
        <v>250</v>
      </c>
      <c r="I11" s="189">
        <v>250</v>
      </c>
      <c r="J11" s="189">
        <v>277.39999999999998</v>
      </c>
      <c r="K11" s="248">
        <v>300</v>
      </c>
      <c r="L11" s="189"/>
    </row>
    <row r="12" spans="1:12">
      <c r="A12" s="239" t="s">
        <v>882</v>
      </c>
      <c r="B12" s="239" t="s">
        <v>72</v>
      </c>
      <c r="C12" s="17">
        <v>240</v>
      </c>
      <c r="D12" s="17">
        <v>200</v>
      </c>
      <c r="E12" s="17">
        <v>240</v>
      </c>
      <c r="F12" s="17">
        <v>210</v>
      </c>
      <c r="G12" s="189">
        <v>240</v>
      </c>
      <c r="H12" s="189">
        <v>160</v>
      </c>
      <c r="I12" s="189">
        <v>240</v>
      </c>
      <c r="J12" s="189">
        <v>260</v>
      </c>
      <c r="K12" s="248">
        <v>240</v>
      </c>
      <c r="L12" s="189"/>
    </row>
    <row r="13" spans="1:12">
      <c r="A13" s="239" t="s">
        <v>883</v>
      </c>
      <c r="B13" s="239" t="s">
        <v>74</v>
      </c>
      <c r="C13" s="17">
        <v>0</v>
      </c>
      <c r="D13" s="17">
        <v>0</v>
      </c>
      <c r="E13" s="17">
        <v>0</v>
      </c>
      <c r="F13" s="17"/>
      <c r="G13" s="189"/>
      <c r="H13" s="189"/>
      <c r="I13" s="189"/>
      <c r="J13" s="189"/>
      <c r="K13" s="248"/>
      <c r="L13" s="189"/>
    </row>
    <row r="14" spans="1:12">
      <c r="A14" s="239" t="s">
        <v>884</v>
      </c>
      <c r="B14" s="239" t="s">
        <v>77</v>
      </c>
      <c r="C14" s="17">
        <v>100</v>
      </c>
      <c r="D14" s="17">
        <v>0</v>
      </c>
      <c r="E14" s="17">
        <v>100</v>
      </c>
      <c r="F14" s="17"/>
      <c r="G14" s="189">
        <v>100</v>
      </c>
      <c r="H14" s="189"/>
      <c r="I14" s="189">
        <v>20</v>
      </c>
      <c r="J14" s="189"/>
      <c r="K14" s="248">
        <v>20</v>
      </c>
      <c r="L14" s="189"/>
    </row>
    <row r="15" spans="1:12">
      <c r="A15" s="239" t="s">
        <v>885</v>
      </c>
      <c r="B15" s="239" t="s">
        <v>197</v>
      </c>
      <c r="C15" s="17">
        <v>1000</v>
      </c>
      <c r="D15" s="17">
        <v>105.17</v>
      </c>
      <c r="E15" s="17">
        <v>500</v>
      </c>
      <c r="F15" s="17">
        <v>315.87</v>
      </c>
      <c r="G15" s="189">
        <v>1000</v>
      </c>
      <c r="H15" s="189">
        <v>918.18</v>
      </c>
      <c r="I15" s="189">
        <v>1000</v>
      </c>
      <c r="J15" s="189">
        <v>442.35</v>
      </c>
      <c r="K15" s="248">
        <v>300</v>
      </c>
      <c r="L15" s="189"/>
    </row>
    <row r="16" spans="1:12">
      <c r="A16" s="239" t="s">
        <v>886</v>
      </c>
      <c r="B16" s="239" t="s">
        <v>820</v>
      </c>
      <c r="C16" s="17">
        <v>500</v>
      </c>
      <c r="D16" s="17">
        <v>0</v>
      </c>
      <c r="E16" s="17">
        <v>500</v>
      </c>
      <c r="F16" s="17">
        <v>70.37</v>
      </c>
      <c r="G16" s="189">
        <v>500</v>
      </c>
      <c r="H16" s="189">
        <v>119.76</v>
      </c>
      <c r="I16" s="189">
        <v>200</v>
      </c>
      <c r="J16" s="189">
        <v>66.88</v>
      </c>
      <c r="K16" s="248">
        <v>200</v>
      </c>
      <c r="L16" s="189"/>
    </row>
    <row r="17" spans="1:15">
      <c r="B17" s="239" t="s">
        <v>757</v>
      </c>
      <c r="C17" s="17">
        <v>200</v>
      </c>
      <c r="D17" s="17">
        <v>215.83</v>
      </c>
      <c r="E17" s="17">
        <v>200</v>
      </c>
      <c r="F17" s="17">
        <v>468.23</v>
      </c>
      <c r="G17" s="189">
        <v>200</v>
      </c>
      <c r="H17" s="189">
        <v>19.54</v>
      </c>
      <c r="I17" s="189">
        <v>200</v>
      </c>
      <c r="J17" s="189">
        <v>124.21</v>
      </c>
      <c r="K17" s="248">
        <v>200</v>
      </c>
      <c r="L17" s="189"/>
    </row>
    <row r="18" spans="1:15">
      <c r="A18" s="239" t="s">
        <v>887</v>
      </c>
      <c r="B18" s="239" t="s">
        <v>823</v>
      </c>
      <c r="C18" s="17">
        <v>2000</v>
      </c>
      <c r="D18" s="17">
        <v>723.59</v>
      </c>
      <c r="E18" s="17">
        <v>2250</v>
      </c>
      <c r="F18" s="17">
        <v>542.6</v>
      </c>
      <c r="G18" s="189">
        <v>2250</v>
      </c>
      <c r="H18" s="189">
        <v>1225.06</v>
      </c>
      <c r="I18" s="189">
        <v>1750</v>
      </c>
      <c r="J18" s="189">
        <v>1481.47</v>
      </c>
      <c r="K18" s="248">
        <v>0</v>
      </c>
      <c r="L18" s="189"/>
    </row>
    <row r="19" spans="1:15">
      <c r="B19" s="239" t="s">
        <v>825</v>
      </c>
      <c r="C19" s="17">
        <v>0</v>
      </c>
      <c r="D19" s="17">
        <v>0</v>
      </c>
      <c r="E19" s="17">
        <v>0</v>
      </c>
      <c r="F19" s="17"/>
      <c r="G19" s="189"/>
      <c r="H19" s="189"/>
      <c r="I19" s="189"/>
      <c r="J19" s="189"/>
      <c r="K19" s="248"/>
      <c r="L19" s="189"/>
    </row>
    <row r="20" spans="1:15">
      <c r="B20" s="239" t="s">
        <v>289</v>
      </c>
      <c r="C20" s="17">
        <v>4500</v>
      </c>
      <c r="D20" s="17"/>
      <c r="E20" s="17">
        <v>3350</v>
      </c>
      <c r="F20" s="17"/>
      <c r="G20" s="189"/>
      <c r="H20" s="189"/>
      <c r="I20" s="189"/>
      <c r="J20" s="189">
        <v>103.87</v>
      </c>
      <c r="K20" s="248"/>
      <c r="L20" s="189"/>
    </row>
    <row r="21" spans="1:15">
      <c r="A21" s="266" t="s">
        <v>888</v>
      </c>
      <c r="B21" s="239" t="s">
        <v>889</v>
      </c>
      <c r="C21" s="17">
        <v>2500</v>
      </c>
      <c r="D21" s="17">
        <v>2757.44</v>
      </c>
      <c r="E21" s="17">
        <v>2600</v>
      </c>
      <c r="F21" s="17">
        <v>189.08</v>
      </c>
      <c r="G21" s="189"/>
      <c r="H21" s="189"/>
      <c r="I21" s="189"/>
      <c r="J21" s="189"/>
      <c r="K21" s="248">
        <v>500</v>
      </c>
      <c r="L21" s="189"/>
    </row>
    <row r="22" spans="1:15">
      <c r="A22" s="239" t="s">
        <v>890</v>
      </c>
      <c r="B22" s="239" t="s">
        <v>828</v>
      </c>
      <c r="C22" s="17">
        <v>2000</v>
      </c>
      <c r="D22" s="17">
        <v>3074.06</v>
      </c>
      <c r="E22" s="17">
        <v>1800</v>
      </c>
      <c r="F22" s="17">
        <v>3171.88</v>
      </c>
      <c r="G22" s="189">
        <v>3000</v>
      </c>
      <c r="H22" s="189">
        <v>2462.31</v>
      </c>
      <c r="I22" s="189">
        <v>3000</v>
      </c>
      <c r="J22" s="189">
        <v>1736.28</v>
      </c>
      <c r="K22" s="248">
        <v>4200</v>
      </c>
      <c r="L22" s="189"/>
    </row>
    <row r="23" spans="1:15">
      <c r="A23" s="239" t="s">
        <v>891</v>
      </c>
      <c r="B23" s="239" t="s">
        <v>892</v>
      </c>
      <c r="C23" s="17"/>
      <c r="D23" s="17"/>
      <c r="E23" s="17"/>
      <c r="F23" s="17">
        <v>1639.41</v>
      </c>
      <c r="G23" s="189"/>
      <c r="H23" s="189">
        <v>1372.89</v>
      </c>
      <c r="I23" s="189">
        <v>2000</v>
      </c>
      <c r="J23" s="189">
        <v>3115.06</v>
      </c>
      <c r="K23" s="248">
        <v>5000</v>
      </c>
      <c r="L23" s="189"/>
    </row>
    <row r="24" spans="1:15">
      <c r="A24" s="266" t="s">
        <v>893</v>
      </c>
      <c r="B24" s="239" t="s">
        <v>894</v>
      </c>
      <c r="C24" s="17"/>
      <c r="D24" s="17"/>
      <c r="E24" s="17"/>
      <c r="F24" s="17"/>
      <c r="G24" s="189"/>
      <c r="H24" s="189"/>
      <c r="I24" s="189"/>
      <c r="J24" s="189"/>
      <c r="K24" s="248">
        <v>1000</v>
      </c>
      <c r="L24" s="189"/>
    </row>
    <row r="25" spans="1:15">
      <c r="B25" s="239" t="s">
        <v>247</v>
      </c>
      <c r="C25" s="17">
        <v>0</v>
      </c>
      <c r="D25" s="17">
        <v>0</v>
      </c>
      <c r="E25" s="17">
        <v>0</v>
      </c>
      <c r="F25" s="17"/>
      <c r="G25" s="189"/>
      <c r="H25" s="189"/>
      <c r="I25" s="189"/>
      <c r="J25" s="189"/>
      <c r="K25" s="248"/>
      <c r="L25" s="189"/>
      <c r="O25" s="241"/>
    </row>
    <row r="26" spans="1:15">
      <c r="B26" s="239" t="s">
        <v>220</v>
      </c>
      <c r="C26" s="17">
        <v>0</v>
      </c>
      <c r="D26" s="17">
        <v>0</v>
      </c>
      <c r="E26" s="17">
        <v>0</v>
      </c>
      <c r="F26" s="17"/>
      <c r="G26" s="189"/>
      <c r="H26" s="189"/>
      <c r="I26" s="189"/>
      <c r="J26" s="189"/>
      <c r="K26" s="248"/>
      <c r="L26" s="189"/>
    </row>
    <row r="27" spans="1:15">
      <c r="B27" s="239" t="s">
        <v>89</v>
      </c>
      <c r="C27" s="17">
        <v>0</v>
      </c>
      <c r="D27" s="17">
        <v>675.46</v>
      </c>
      <c r="E27" s="17">
        <v>0</v>
      </c>
      <c r="F27" s="17">
        <v>668.63</v>
      </c>
      <c r="G27" s="189"/>
      <c r="H27" s="189"/>
      <c r="I27" s="189"/>
      <c r="J27" s="189"/>
      <c r="K27" s="248"/>
      <c r="L27" s="189"/>
    </row>
    <row r="28" spans="1:15">
      <c r="B28" s="239" t="s">
        <v>87</v>
      </c>
      <c r="C28" s="17">
        <v>0</v>
      </c>
      <c r="D28" s="17">
        <v>0</v>
      </c>
      <c r="E28" s="17">
        <v>0</v>
      </c>
      <c r="F28" s="17"/>
      <c r="G28" s="189"/>
      <c r="H28" s="189"/>
      <c r="I28" s="189"/>
      <c r="J28" s="189"/>
      <c r="K28" s="248"/>
      <c r="L28" s="189"/>
    </row>
    <row r="29" spans="1:15" ht="13.5" thickBot="1">
      <c r="B29" s="12" t="s">
        <v>13</v>
      </c>
      <c r="C29" s="16">
        <f>SUBTOTAL(109,MarketingAdvocacyExpenses[Budget 15/16])</f>
        <v>13340</v>
      </c>
      <c r="D29" s="16">
        <f>SUBTOTAL(109,MarketingAdvocacyExpenses[Actual 15/16])</f>
        <v>7809.62</v>
      </c>
      <c r="E29" s="16">
        <f>SUBTOTAL(109,MarketingAdvocacyExpenses[Budget 16/17])</f>
        <v>11840</v>
      </c>
      <c r="F29" s="16">
        <f>SUBTOTAL(109,MarketingAdvocacyExpenses[Actual 16/17])</f>
        <v>7354.45</v>
      </c>
      <c r="G29" s="16">
        <f>SUBTOTAL(109,MarketingAdvocacyExpenses[Budget 17/18])</f>
        <v>7590</v>
      </c>
      <c r="H29" s="16">
        <f>SUBTOTAL(109,MarketingAdvocacyExpenses[Actual 17/18])</f>
        <v>6527.7400000000007</v>
      </c>
      <c r="I29" s="16">
        <f>SUBTOTAL(109,MarketingAdvocacyExpenses[Budget 18/19])</f>
        <v>8660</v>
      </c>
      <c r="J29" s="16">
        <f>SUBTOTAL(109,MarketingAdvocacyExpenses[Actual 18/19])</f>
        <v>7607.52</v>
      </c>
      <c r="K29" s="20">
        <f>SUM(K10:K28)</f>
        <v>35112.509999999995</v>
      </c>
      <c r="L29" s="16"/>
    </row>
    <row r="30" spans="1:15" ht="19.5" thickBot="1">
      <c r="B30" s="513" t="s">
        <v>102</v>
      </c>
      <c r="C30" s="244">
        <f>(MarketingAdvocacyRevenues[[#Totals],[Budget 15/16]]) -MarketingAdvocacyExpenses[[#Totals],[Budget 15/16]]</f>
        <v>-13340</v>
      </c>
      <c r="D30" s="244">
        <f>(MarketingAdvocacyRevenues[[#Totals],[Actual 15/16]]) -MarketingAdvocacyExpenses[[#Totals],[Actual 15/16]]</f>
        <v>-7809.62</v>
      </c>
      <c r="E30" s="244">
        <f>(MarketingAdvocacyRevenues[[#Totals],[Budget 16/17]]) -MarketingAdvocacyExpenses[[#Totals],[Budget 16/17]]</f>
        <v>-11840</v>
      </c>
      <c r="F30" s="244">
        <f>(MarketingAdvocacyRevenues[[#Totals],[Actual 16/17]]) -MarketingAdvocacyExpenses[[#Totals],[Actual 16/17]]</f>
        <v>-7354.45</v>
      </c>
      <c r="G30" s="244">
        <f>(MarketingAdvocacyRevenues[[#Totals],[Budget 15/16]]) -MarketingAdvocacyExpenses[[#Totals],[Budget 17/18]]</f>
        <v>-7590</v>
      </c>
      <c r="H30" s="244">
        <f>(MarketingAdvocacyRevenues[[#Totals],[Actual 15/16]]) -MarketingAdvocacyExpenses[[#Totals],[Actual 17/18]]</f>
        <v>-6527.7400000000007</v>
      </c>
      <c r="I30" s="244">
        <f>(MarketingAdvocacyRevenues[[#Totals],[Budget 16/17]]) -MarketingAdvocacyExpenses[[#Totals],[Budget 18/19]]</f>
        <v>-8660</v>
      </c>
      <c r="J30" s="244">
        <f>(MarketingAdvocacyRevenues[[#Totals],[Actual 16/17]]) -MarketingAdvocacyExpenses[[#Totals],[Actual 18/19]]</f>
        <v>-7607.52</v>
      </c>
      <c r="K30" s="242">
        <f>MarketingAdvocacyRevenues[[#Totals],[Budget 19/20]]-MarketingAdvocacyExpenses[[#Totals],[Budget 19-20]]</f>
        <v>-31872.509999999995</v>
      </c>
      <c r="L30" s="242"/>
    </row>
    <row r="31" spans="1:15">
      <c r="D31" s="241"/>
      <c r="E31" s="241"/>
      <c r="F31" s="241"/>
    </row>
    <row r="33" spans="7:10">
      <c r="G33" s="241"/>
      <c r="H33" s="241"/>
      <c r="I33" s="241"/>
      <c r="J33" s="241"/>
    </row>
  </sheetData>
  <pageMargins left="0.7" right="0.7" top="0.75" bottom="0.75" header="0.3" footer="0.3"/>
  <pageSetup orientation="landscape" r:id="rId1"/>
  <legacyDrawing r:id="rId2"/>
  <tableParts count="2">
    <tablePart r:id="rId3"/>
    <tablePart r:id="rId4"/>
  </tableParts>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92D050"/>
    <pageSetUpPr fitToPage="1"/>
  </sheetPr>
  <dimension ref="A1:O44"/>
  <sheetViews>
    <sheetView tabSelected="1" topLeftCell="A4" zoomScaleNormal="100" workbookViewId="0">
      <selection activeCell="P25" sqref="P25"/>
    </sheetView>
  </sheetViews>
  <sheetFormatPr defaultColWidth="10" defaultRowHeight="12.75"/>
  <cols>
    <col min="1" max="1" width="15.28515625" style="239" customWidth="1"/>
    <col min="2" max="2" width="49.85546875" style="239" customWidth="1"/>
    <col min="3" max="3" width="13.28515625" style="239" hidden="1" customWidth="1"/>
    <col min="4" max="4" width="14.140625" style="239" hidden="1" customWidth="1"/>
    <col min="5" max="6" width="14.28515625" style="239" hidden="1" customWidth="1"/>
    <col min="7" max="8" width="14.140625" style="239" hidden="1" customWidth="1"/>
    <col min="9" max="9" width="15.85546875" style="239" hidden="1" customWidth="1"/>
    <col min="10" max="10" width="15.85546875" style="255" bestFit="1" customWidth="1"/>
    <col min="11" max="11" width="34.7109375" style="239" customWidth="1"/>
    <col min="12" max="14" width="14.140625" style="239" bestFit="1" customWidth="1"/>
    <col min="15" max="16" width="15.85546875" style="239" bestFit="1" customWidth="1"/>
    <col min="17" max="17" width="17.7109375" style="239" bestFit="1" customWidth="1"/>
    <col min="18" max="16384" width="10" style="239"/>
  </cols>
  <sheetData>
    <row r="1" spans="1:13" ht="21">
      <c r="B1" s="235" t="s">
        <v>895</v>
      </c>
    </row>
    <row r="2" spans="1:13" ht="15">
      <c r="B2" s="234" t="s">
        <v>805</v>
      </c>
    </row>
    <row r="3" spans="1:13">
      <c r="B3" s="239" t="s">
        <v>47</v>
      </c>
      <c r="C3" s="239" t="s">
        <v>104</v>
      </c>
      <c r="D3" s="510" t="s">
        <v>29</v>
      </c>
      <c r="E3" s="511" t="s">
        <v>30</v>
      </c>
      <c r="F3" s="511" t="s">
        <v>31</v>
      </c>
      <c r="G3" s="253" t="s">
        <v>32</v>
      </c>
      <c r="H3" s="252" t="s">
        <v>33</v>
      </c>
      <c r="I3" s="253" t="s">
        <v>34</v>
      </c>
      <c r="J3" s="262" t="s">
        <v>6</v>
      </c>
      <c r="K3" s="262" t="s">
        <v>7</v>
      </c>
      <c r="L3" s="236" t="s">
        <v>8</v>
      </c>
      <c r="M3" s="236" t="s">
        <v>35</v>
      </c>
    </row>
    <row r="4" spans="1:13">
      <c r="B4" s="239" t="s">
        <v>289</v>
      </c>
      <c r="C4" s="17">
        <v>0</v>
      </c>
      <c r="D4" s="17">
        <v>0</v>
      </c>
      <c r="E4" s="17">
        <v>0</v>
      </c>
      <c r="F4" s="17">
        <v>0</v>
      </c>
      <c r="K4" s="255"/>
      <c r="L4" s="270">
        <v>0</v>
      </c>
      <c r="M4" s="270"/>
    </row>
    <row r="5" spans="1:13">
      <c r="B5" s="12" t="s">
        <v>13</v>
      </c>
      <c r="C5" s="16">
        <f>SUBTOTAL(109,MarketingGeneralRevenues7180[Actual 14/15])</f>
        <v>0</v>
      </c>
      <c r="D5" s="16">
        <f>SUBTOTAL(109,MarketingGeneralRevenues7180[Budget 15/16])</f>
        <v>0</v>
      </c>
      <c r="E5" s="16">
        <f>SUBTOTAL(109,MarketingGeneralRevenues7180[Actual 15/16])</f>
        <v>0</v>
      </c>
      <c r="F5" s="16">
        <f>SUBTOTAL(109,MarketingGeneralRevenues7180[Actual 15/16])</f>
        <v>0</v>
      </c>
      <c r="G5" s="16">
        <f>SUBTOTAL(109,MarketingGeneralRevenues7180[Budget 16/17])</f>
        <v>0</v>
      </c>
      <c r="H5" s="16">
        <f>SUBTOTAL(109,MarketingGeneralRevenues7180[Actual 16/17])</f>
        <v>0</v>
      </c>
      <c r="I5" s="16">
        <f>SUBTOTAL(109,MarketingGeneralRevenues7180[Budget 17/18])</f>
        <v>0</v>
      </c>
      <c r="J5" s="16">
        <f>SUBTOTAL(109,MarketingGeneralRevenues7180[Actual 17/18])</f>
        <v>0</v>
      </c>
      <c r="K5" s="16">
        <f>SUBTOTAL(109,MarketingGeneralRevenues7180[Budget 18/19])</f>
        <v>0</v>
      </c>
      <c r="L5" s="16">
        <f>MarketingGeneralRevenues7180[Budget 19/20]</f>
        <v>0</v>
      </c>
      <c r="M5" s="8"/>
    </row>
    <row r="6" spans="1:13">
      <c r="K6" s="270"/>
    </row>
    <row r="7" spans="1:13">
      <c r="B7" s="239" t="s">
        <v>61</v>
      </c>
      <c r="C7" s="239" t="s">
        <v>56</v>
      </c>
      <c r="D7" s="510" t="s">
        <v>29</v>
      </c>
      <c r="E7" s="511" t="s">
        <v>896</v>
      </c>
      <c r="F7" s="511" t="s">
        <v>31</v>
      </c>
      <c r="G7" s="253" t="s">
        <v>32</v>
      </c>
      <c r="H7" s="252" t="s">
        <v>33</v>
      </c>
      <c r="I7" s="253" t="s">
        <v>34</v>
      </c>
      <c r="J7" s="262" t="s">
        <v>6</v>
      </c>
      <c r="K7" s="262" t="s">
        <v>7</v>
      </c>
      <c r="L7" s="269" t="s">
        <v>8</v>
      </c>
      <c r="M7" s="236" t="s">
        <v>35</v>
      </c>
    </row>
    <row r="8" spans="1:13" ht="15">
      <c r="B8" s="442" t="s">
        <v>897</v>
      </c>
      <c r="C8" s="402"/>
      <c r="D8" s="549"/>
      <c r="E8" s="549"/>
      <c r="F8" s="402"/>
      <c r="G8" s="226"/>
      <c r="H8" s="226"/>
      <c r="I8" s="226"/>
      <c r="J8" s="226"/>
      <c r="K8" s="226"/>
      <c r="L8" s="404">
        <v>36731.72</v>
      </c>
      <c r="M8" s="403"/>
    </row>
    <row r="9" spans="1:13">
      <c r="A9" s="239" t="s">
        <v>898</v>
      </c>
      <c r="B9" s="239" t="s">
        <v>70</v>
      </c>
      <c r="C9" s="17">
        <v>0</v>
      </c>
      <c r="D9" s="17">
        <v>600</v>
      </c>
      <c r="E9" s="17">
        <v>119.05</v>
      </c>
      <c r="F9" s="17">
        <v>600</v>
      </c>
      <c r="G9" s="260"/>
      <c r="H9" s="260">
        <v>600</v>
      </c>
      <c r="I9" s="260">
        <v>250</v>
      </c>
      <c r="J9" s="255">
        <v>300</v>
      </c>
      <c r="K9" s="255">
        <v>227.4</v>
      </c>
      <c r="L9" s="259">
        <v>300</v>
      </c>
      <c r="M9" s="259"/>
    </row>
    <row r="10" spans="1:13">
      <c r="A10" s="239" t="s">
        <v>899</v>
      </c>
      <c r="B10" s="239" t="s">
        <v>72</v>
      </c>
      <c r="C10" s="17">
        <v>0</v>
      </c>
      <c r="D10" s="17">
        <v>240</v>
      </c>
      <c r="E10" s="17">
        <v>280</v>
      </c>
      <c r="F10" s="17">
        <v>240</v>
      </c>
      <c r="G10" s="260">
        <v>200</v>
      </c>
      <c r="H10" s="260">
        <v>240</v>
      </c>
      <c r="I10" s="260">
        <v>200</v>
      </c>
      <c r="J10" s="255">
        <v>240</v>
      </c>
      <c r="K10" s="255">
        <v>200</v>
      </c>
      <c r="L10" s="259">
        <v>240</v>
      </c>
      <c r="M10" s="259"/>
    </row>
    <row r="11" spans="1:13">
      <c r="B11" s="239" t="s">
        <v>74</v>
      </c>
      <c r="C11" s="17">
        <v>0</v>
      </c>
      <c r="D11" s="17">
        <v>0</v>
      </c>
      <c r="E11" s="17">
        <v>0</v>
      </c>
      <c r="F11" s="17">
        <v>0</v>
      </c>
      <c r="G11" s="260"/>
      <c r="H11" s="260"/>
      <c r="I11" s="260"/>
      <c r="K11" s="255"/>
      <c r="L11" s="259"/>
      <c r="M11" s="259"/>
    </row>
    <row r="12" spans="1:13">
      <c r="A12" s="239" t="s">
        <v>900</v>
      </c>
      <c r="B12" s="239" t="s">
        <v>77</v>
      </c>
      <c r="C12" s="17">
        <v>117</v>
      </c>
      <c r="D12" s="17">
        <v>117</v>
      </c>
      <c r="E12" s="17">
        <v>0</v>
      </c>
      <c r="F12" s="17">
        <v>117</v>
      </c>
      <c r="G12" s="260"/>
      <c r="H12" s="260">
        <v>117</v>
      </c>
      <c r="I12" s="260">
        <v>2.38</v>
      </c>
      <c r="J12" s="255">
        <v>50</v>
      </c>
      <c r="K12" s="255"/>
      <c r="L12" s="259"/>
      <c r="M12" s="259"/>
    </row>
    <row r="13" spans="1:13">
      <c r="A13" s="239" t="s">
        <v>901</v>
      </c>
      <c r="B13" s="239" t="s">
        <v>197</v>
      </c>
      <c r="C13" s="17">
        <v>1500</v>
      </c>
      <c r="D13" s="17">
        <v>1500</v>
      </c>
      <c r="E13" s="17">
        <v>268.04000000000002</v>
      </c>
      <c r="F13" s="17">
        <v>1500</v>
      </c>
      <c r="G13" s="260">
        <v>414.38</v>
      </c>
      <c r="H13" s="260">
        <v>1000</v>
      </c>
      <c r="I13" s="260">
        <v>397.54</v>
      </c>
      <c r="J13" s="255">
        <v>500</v>
      </c>
      <c r="K13" s="255">
        <v>131.75</v>
      </c>
      <c r="L13" s="259">
        <v>300</v>
      </c>
      <c r="M13" s="259"/>
    </row>
    <row r="14" spans="1:13">
      <c r="A14" s="239" t="s">
        <v>902</v>
      </c>
      <c r="B14" s="239" t="s">
        <v>820</v>
      </c>
      <c r="C14" s="17">
        <v>1000</v>
      </c>
      <c r="D14" s="17">
        <v>1000</v>
      </c>
      <c r="E14" s="17">
        <v>0</v>
      </c>
      <c r="F14" s="17">
        <v>1000</v>
      </c>
      <c r="G14" s="260">
        <v>365.99</v>
      </c>
      <c r="H14" s="260">
        <v>400</v>
      </c>
      <c r="I14" s="260">
        <v>90.05</v>
      </c>
      <c r="J14" s="255">
        <v>200</v>
      </c>
      <c r="K14" s="255"/>
      <c r="L14" s="259">
        <v>100</v>
      </c>
      <c r="M14" s="259"/>
    </row>
    <row r="15" spans="1:13">
      <c r="A15" s="239" t="s">
        <v>903</v>
      </c>
      <c r="B15" s="239" t="s">
        <v>757</v>
      </c>
      <c r="C15" s="17">
        <v>300</v>
      </c>
      <c r="D15" s="17">
        <v>300</v>
      </c>
      <c r="E15" s="17">
        <v>0</v>
      </c>
      <c r="F15" s="17">
        <v>200</v>
      </c>
      <c r="G15" s="260">
        <v>166.83</v>
      </c>
      <c r="H15" s="260">
        <v>200</v>
      </c>
      <c r="I15" s="260">
        <v>37.700000000000003</v>
      </c>
      <c r="J15" s="255">
        <v>100</v>
      </c>
      <c r="K15" s="255">
        <v>20.38</v>
      </c>
      <c r="L15" s="259">
        <v>75</v>
      </c>
      <c r="M15" s="259"/>
    </row>
    <row r="16" spans="1:13">
      <c r="B16" s="239" t="s">
        <v>823</v>
      </c>
      <c r="C16" s="17">
        <v>0</v>
      </c>
      <c r="D16" s="17">
        <v>0</v>
      </c>
      <c r="E16" s="17">
        <v>0</v>
      </c>
      <c r="F16" s="17">
        <v>0</v>
      </c>
      <c r="G16" s="260"/>
      <c r="H16" s="260"/>
      <c r="I16" s="260"/>
      <c r="K16" s="255">
        <v>58.6</v>
      </c>
      <c r="L16" s="259"/>
      <c r="M16" s="259"/>
    </row>
    <row r="17" spans="1:15">
      <c r="B17" s="239" t="s">
        <v>825</v>
      </c>
      <c r="C17" s="17">
        <v>0</v>
      </c>
      <c r="D17" s="17">
        <v>0</v>
      </c>
      <c r="E17" s="17">
        <v>0</v>
      </c>
      <c r="F17" s="17">
        <v>0</v>
      </c>
      <c r="G17" s="260"/>
      <c r="H17" s="260"/>
      <c r="I17" s="260"/>
      <c r="K17" s="255"/>
      <c r="L17" s="259"/>
      <c r="M17" s="259"/>
    </row>
    <row r="18" spans="1:15">
      <c r="A18" s="239" t="s">
        <v>904</v>
      </c>
      <c r="B18" s="239" t="s">
        <v>289</v>
      </c>
      <c r="C18" s="17">
        <v>2000</v>
      </c>
      <c r="D18" s="17">
        <v>4000</v>
      </c>
      <c r="E18" s="17">
        <v>1853.14</v>
      </c>
      <c r="F18" s="17">
        <v>2500</v>
      </c>
      <c r="G18" s="260">
        <v>1055.74</v>
      </c>
      <c r="H18" s="260">
        <v>1000</v>
      </c>
      <c r="I18" s="260">
        <v>734.65</v>
      </c>
      <c r="J18" s="255">
        <v>800</v>
      </c>
      <c r="K18" s="255">
        <v>544.54999999999995</v>
      </c>
      <c r="L18" s="259">
        <v>500</v>
      </c>
      <c r="M18" s="259"/>
      <c r="O18" s="240">
        <f>SUM(L20:L32)/12</f>
        <v>733.33333333333337</v>
      </c>
    </row>
    <row r="19" spans="1:15">
      <c r="A19" s="239" t="s">
        <v>905</v>
      </c>
      <c r="B19" s="239" t="s">
        <v>906</v>
      </c>
      <c r="C19" s="17">
        <v>2434</v>
      </c>
      <c r="D19" s="17">
        <v>2000</v>
      </c>
      <c r="E19" s="17">
        <v>224.59</v>
      </c>
      <c r="F19" s="17">
        <v>1000</v>
      </c>
      <c r="G19" s="260">
        <v>228.51</v>
      </c>
      <c r="H19" s="268">
        <v>400</v>
      </c>
      <c r="I19" s="260">
        <f>56.5+378.46</f>
        <v>434.96</v>
      </c>
      <c r="J19" s="255">
        <v>200</v>
      </c>
      <c r="K19" s="255">
        <v>103.75</v>
      </c>
      <c r="L19" s="259">
        <v>200</v>
      </c>
      <c r="M19" s="259"/>
    </row>
    <row r="20" spans="1:15">
      <c r="A20" s="239" t="s">
        <v>907</v>
      </c>
      <c r="B20" s="239" t="s">
        <v>908</v>
      </c>
      <c r="C20" s="17">
        <v>1684.61</v>
      </c>
      <c r="D20" s="17">
        <v>2000</v>
      </c>
      <c r="E20" s="17">
        <v>1864.09</v>
      </c>
      <c r="F20" s="17">
        <v>1000</v>
      </c>
      <c r="G20" s="260">
        <v>561.53</v>
      </c>
      <c r="H20" s="268">
        <v>700</v>
      </c>
      <c r="I20" s="260">
        <v>760.84</v>
      </c>
      <c r="J20" s="255">
        <v>700</v>
      </c>
      <c r="K20" s="255">
        <v>926.74</v>
      </c>
      <c r="L20" s="259">
        <v>800</v>
      </c>
      <c r="M20" s="259"/>
    </row>
    <row r="21" spans="1:15">
      <c r="A21" s="239" t="s">
        <v>909</v>
      </c>
      <c r="B21" s="239" t="s">
        <v>910</v>
      </c>
      <c r="C21" s="17">
        <v>1012.38</v>
      </c>
      <c r="D21" s="17">
        <v>1500</v>
      </c>
      <c r="E21" s="17">
        <v>2493.67</v>
      </c>
      <c r="F21" s="17">
        <v>1800</v>
      </c>
      <c r="G21" s="260">
        <v>1290</v>
      </c>
      <c r="H21" s="268">
        <v>1000</v>
      </c>
      <c r="I21" s="260">
        <v>1084.8900000000001</v>
      </c>
      <c r="J21" s="255">
        <v>1500</v>
      </c>
      <c r="K21" s="255">
        <v>1451.1</v>
      </c>
      <c r="L21" s="259">
        <v>1000</v>
      </c>
      <c r="M21" s="259"/>
    </row>
    <row r="22" spans="1:15">
      <c r="A22" s="239" t="s">
        <v>911</v>
      </c>
      <c r="B22" s="239" t="s">
        <v>912</v>
      </c>
      <c r="C22" s="17">
        <v>1061.52</v>
      </c>
      <c r="D22" s="17">
        <v>1500</v>
      </c>
      <c r="E22" s="17">
        <v>2317.9299999999998</v>
      </c>
      <c r="F22" s="17">
        <v>2000</v>
      </c>
      <c r="G22" s="260">
        <v>1189.9100000000001</v>
      </c>
      <c r="H22" s="268">
        <v>1200</v>
      </c>
      <c r="I22" s="260">
        <v>1147.5899999999999</v>
      </c>
      <c r="J22" s="255">
        <v>1200</v>
      </c>
      <c r="K22" s="255">
        <v>1206.45</v>
      </c>
      <c r="L22" s="259">
        <v>1000</v>
      </c>
      <c r="M22" s="259"/>
    </row>
    <row r="23" spans="1:15">
      <c r="A23" s="239" t="s">
        <v>913</v>
      </c>
      <c r="B23" s="239" t="s">
        <v>914</v>
      </c>
      <c r="C23" s="17">
        <v>3011.92</v>
      </c>
      <c r="D23" s="17">
        <v>2000</v>
      </c>
      <c r="E23" s="17">
        <v>2036.95</v>
      </c>
      <c r="F23" s="17">
        <v>2000</v>
      </c>
      <c r="G23" s="260">
        <v>1596</v>
      </c>
      <c r="H23" s="268">
        <v>1500</v>
      </c>
      <c r="I23" s="260">
        <v>1352.42</v>
      </c>
      <c r="J23" s="255">
        <v>1000</v>
      </c>
      <c r="K23" s="255">
        <v>937.18</v>
      </c>
      <c r="L23" s="259">
        <v>500</v>
      </c>
      <c r="M23" s="259"/>
      <c r="N23" s="241"/>
    </row>
    <row r="24" spans="1:15">
      <c r="A24" s="239" t="s">
        <v>915</v>
      </c>
      <c r="B24" s="239" t="s">
        <v>916</v>
      </c>
      <c r="C24" s="17">
        <v>2569.44</v>
      </c>
      <c r="D24" s="17">
        <v>1500</v>
      </c>
      <c r="E24" s="17">
        <v>538.6</v>
      </c>
      <c r="F24" s="17">
        <v>900</v>
      </c>
      <c r="G24" s="260">
        <v>541.07000000000005</v>
      </c>
      <c r="H24" s="268">
        <v>700</v>
      </c>
      <c r="I24" s="260">
        <v>659.5</v>
      </c>
      <c r="J24" s="255">
        <v>700</v>
      </c>
      <c r="K24" s="255">
        <v>668.43</v>
      </c>
      <c r="L24" s="259">
        <v>600</v>
      </c>
      <c r="M24" s="259"/>
      <c r="N24" s="241"/>
    </row>
    <row r="25" spans="1:15">
      <c r="A25" s="239" t="s">
        <v>917</v>
      </c>
      <c r="B25" s="239" t="s">
        <v>918</v>
      </c>
      <c r="C25" s="17">
        <v>1963.04</v>
      </c>
      <c r="D25" s="17">
        <v>900</v>
      </c>
      <c r="E25" s="17">
        <v>233.45</v>
      </c>
      <c r="F25" s="17">
        <v>900</v>
      </c>
      <c r="G25" s="260">
        <v>1530.53</v>
      </c>
      <c r="H25" s="268">
        <v>900</v>
      </c>
      <c r="I25" s="260">
        <v>1053.43</v>
      </c>
      <c r="J25" s="255">
        <v>500</v>
      </c>
      <c r="K25" s="255">
        <v>473.2</v>
      </c>
      <c r="L25" s="259">
        <v>500</v>
      </c>
      <c r="M25" s="259"/>
    </row>
    <row r="26" spans="1:15">
      <c r="A26" s="239" t="s">
        <v>919</v>
      </c>
      <c r="B26" s="239" t="s">
        <v>920</v>
      </c>
      <c r="C26" s="17">
        <v>3725.95</v>
      </c>
      <c r="D26" s="17">
        <v>2500</v>
      </c>
      <c r="E26" s="17">
        <v>692.03</v>
      </c>
      <c r="F26" s="17">
        <v>900</v>
      </c>
      <c r="G26" s="260">
        <v>830.83</v>
      </c>
      <c r="H26" s="268">
        <v>900</v>
      </c>
      <c r="I26" s="260">
        <v>761.74</v>
      </c>
      <c r="J26" s="255">
        <v>900</v>
      </c>
      <c r="K26" s="255">
        <v>613.86</v>
      </c>
      <c r="L26" s="259">
        <v>800</v>
      </c>
      <c r="M26" s="259"/>
    </row>
    <row r="27" spans="1:15">
      <c r="A27" s="239" t="s">
        <v>921</v>
      </c>
      <c r="B27" s="239" t="s">
        <v>922</v>
      </c>
      <c r="C27" s="17">
        <v>723.54</v>
      </c>
      <c r="D27" s="17">
        <v>900</v>
      </c>
      <c r="E27" s="17">
        <v>882.3</v>
      </c>
      <c r="F27" s="17">
        <v>600</v>
      </c>
      <c r="G27" s="260">
        <v>560.51</v>
      </c>
      <c r="H27" s="268">
        <v>600</v>
      </c>
      <c r="I27" s="260">
        <v>336.25</v>
      </c>
      <c r="J27" s="255">
        <v>500</v>
      </c>
      <c r="K27" s="255">
        <v>423.35</v>
      </c>
      <c r="L27" s="259">
        <v>600</v>
      </c>
      <c r="M27" s="259"/>
    </row>
    <row r="28" spans="1:15">
      <c r="A28" s="239" t="s">
        <v>923</v>
      </c>
      <c r="B28" s="239" t="s">
        <v>924</v>
      </c>
      <c r="C28" s="17">
        <v>0</v>
      </c>
      <c r="D28" s="17">
        <v>1000</v>
      </c>
      <c r="E28" s="17">
        <v>1553.19</v>
      </c>
      <c r="F28" s="17">
        <v>1300</v>
      </c>
      <c r="G28" s="260">
        <v>1292.05</v>
      </c>
      <c r="H28" s="268">
        <v>1000</v>
      </c>
      <c r="I28" s="260">
        <v>995.82</v>
      </c>
      <c r="J28" s="255">
        <v>600</v>
      </c>
      <c r="K28" s="255">
        <v>415.23</v>
      </c>
      <c r="L28" s="259">
        <v>200</v>
      </c>
      <c r="M28" s="259"/>
    </row>
    <row r="29" spans="1:15">
      <c r="A29" s="239" t="s">
        <v>925</v>
      </c>
      <c r="B29" s="239" t="s">
        <v>926</v>
      </c>
      <c r="C29" s="17">
        <v>0</v>
      </c>
      <c r="D29" s="17">
        <v>500</v>
      </c>
      <c r="E29" s="17">
        <v>967.45</v>
      </c>
      <c r="F29" s="17">
        <v>1000</v>
      </c>
      <c r="G29" s="260">
        <v>888.06</v>
      </c>
      <c r="H29" s="268">
        <v>1000</v>
      </c>
      <c r="I29" s="260">
        <v>938.06</v>
      </c>
      <c r="J29" s="255">
        <v>1000</v>
      </c>
      <c r="K29" s="255">
        <v>859.79</v>
      </c>
      <c r="L29" s="259">
        <v>600</v>
      </c>
      <c r="M29" s="259"/>
    </row>
    <row r="30" spans="1:15">
      <c r="A30" s="239" t="s">
        <v>927</v>
      </c>
      <c r="B30" s="239" t="s">
        <v>928</v>
      </c>
      <c r="C30" s="17">
        <v>0</v>
      </c>
      <c r="D30" s="17">
        <v>0</v>
      </c>
      <c r="E30" s="17">
        <v>0</v>
      </c>
      <c r="F30" s="17">
        <v>1500</v>
      </c>
      <c r="G30" s="260">
        <v>1132.04</v>
      </c>
      <c r="H30" s="268">
        <v>1500</v>
      </c>
      <c r="I30" s="260">
        <v>2224.87</v>
      </c>
      <c r="J30" s="255">
        <v>1500</v>
      </c>
      <c r="K30" s="255">
        <v>1222.58</v>
      </c>
      <c r="L30" s="259">
        <v>1200</v>
      </c>
      <c r="M30" s="259"/>
    </row>
    <row r="31" spans="1:15">
      <c r="A31" s="239" t="s">
        <v>929</v>
      </c>
      <c r="B31" s="239" t="s">
        <v>930</v>
      </c>
      <c r="C31" s="17">
        <v>0</v>
      </c>
      <c r="D31" s="17">
        <v>0</v>
      </c>
      <c r="E31" s="17">
        <v>0</v>
      </c>
      <c r="F31" s="17">
        <v>2200</v>
      </c>
      <c r="G31" s="260">
        <v>1488.06</v>
      </c>
      <c r="H31" s="268">
        <v>2200</v>
      </c>
      <c r="I31" s="260">
        <v>2116.73</v>
      </c>
      <c r="J31" s="255">
        <v>2000</v>
      </c>
      <c r="K31" s="255">
        <v>688.02</v>
      </c>
      <c r="L31" s="259"/>
      <c r="M31" s="259"/>
    </row>
    <row r="32" spans="1:15">
      <c r="A32" s="239" t="s">
        <v>931</v>
      </c>
      <c r="B32" s="239" t="s">
        <v>932</v>
      </c>
      <c r="C32" s="17"/>
      <c r="D32" s="17"/>
      <c r="E32" s="17"/>
      <c r="F32" s="17"/>
      <c r="G32" s="260"/>
      <c r="H32" s="268"/>
      <c r="J32" s="255">
        <v>1500</v>
      </c>
      <c r="K32" s="255">
        <v>1543.4</v>
      </c>
      <c r="L32" s="259">
        <v>1000</v>
      </c>
      <c r="M32" s="259"/>
    </row>
    <row r="33" spans="1:13">
      <c r="A33" s="239" t="s">
        <v>933</v>
      </c>
      <c r="B33" s="239" t="s">
        <v>934</v>
      </c>
      <c r="C33" s="17">
        <v>4605.79</v>
      </c>
      <c r="D33" s="17">
        <v>5000</v>
      </c>
      <c r="E33" s="17">
        <v>2217.15</v>
      </c>
      <c r="F33" s="17">
        <v>4000</v>
      </c>
      <c r="G33" s="260">
        <v>4158.5200000000004</v>
      </c>
      <c r="H33" s="260">
        <v>5000</v>
      </c>
      <c r="I33" s="239">
        <v>4967.8100000000004</v>
      </c>
      <c r="J33" s="255">
        <v>4500</v>
      </c>
      <c r="K33" s="255">
        <v>4241.3100000000004</v>
      </c>
      <c r="L33" s="259">
        <v>4000</v>
      </c>
      <c r="M33" s="259"/>
    </row>
    <row r="34" spans="1:13">
      <c r="A34" s="239" t="s">
        <v>935</v>
      </c>
      <c r="B34" s="239" t="s">
        <v>936</v>
      </c>
      <c r="C34" s="17">
        <v>984.97</v>
      </c>
      <c r="D34" s="17">
        <v>1500</v>
      </c>
      <c r="E34" s="17">
        <v>1097.9100000000001</v>
      </c>
      <c r="F34" s="17">
        <v>1500</v>
      </c>
      <c r="G34" s="260">
        <v>1009.64</v>
      </c>
      <c r="H34" s="260">
        <v>1800</v>
      </c>
      <c r="I34" s="260">
        <v>508.7</v>
      </c>
      <c r="J34" s="255">
        <v>2700</v>
      </c>
      <c r="K34" s="255"/>
      <c r="L34" s="259">
        <v>2200</v>
      </c>
      <c r="M34" s="259"/>
    </row>
    <row r="35" spans="1:13" ht="15">
      <c r="A35" s="266" t="s">
        <v>888</v>
      </c>
      <c r="B35" s="434" t="s">
        <v>937</v>
      </c>
      <c r="C35" s="402"/>
      <c r="D35" s="549"/>
      <c r="E35" s="549"/>
      <c r="F35" s="402"/>
      <c r="G35" s="226"/>
      <c r="H35" s="226"/>
      <c r="I35" s="226"/>
      <c r="J35" s="226"/>
      <c r="K35" s="258"/>
      <c r="L35" s="259">
        <v>1000</v>
      </c>
      <c r="M35" s="429"/>
    </row>
    <row r="36" spans="1:13" ht="15">
      <c r="B36" s="442" t="s">
        <v>938</v>
      </c>
      <c r="C36" s="246"/>
      <c r="D36" s="443"/>
      <c r="E36" s="443"/>
      <c r="F36" s="246"/>
      <c r="G36" s="226"/>
      <c r="H36" s="226"/>
      <c r="I36" s="226"/>
      <c r="J36" s="226"/>
      <c r="K36" s="255">
        <v>1525.15</v>
      </c>
      <c r="L36" s="259"/>
      <c r="M36" s="259"/>
    </row>
    <row r="37" spans="1:13">
      <c r="B37" s="239" t="s">
        <v>939</v>
      </c>
      <c r="C37" s="17">
        <v>897.45</v>
      </c>
      <c r="D37" s="17">
        <v>1500</v>
      </c>
      <c r="E37" s="17">
        <v>785.17</v>
      </c>
      <c r="F37" s="17">
        <v>1800</v>
      </c>
      <c r="G37" s="260"/>
      <c r="H37" s="260"/>
      <c r="I37" s="260"/>
      <c r="K37" s="255"/>
      <c r="L37" s="259"/>
      <c r="M37" s="259"/>
    </row>
    <row r="38" spans="1:13">
      <c r="A38" s="239" t="s">
        <v>940</v>
      </c>
      <c r="B38" s="239" t="s">
        <v>941</v>
      </c>
      <c r="C38" s="17">
        <v>280.62</v>
      </c>
      <c r="D38" s="17">
        <v>500</v>
      </c>
      <c r="E38" s="17">
        <v>199.09</v>
      </c>
      <c r="F38" s="17">
        <v>500</v>
      </c>
      <c r="G38" s="260">
        <v>452.4</v>
      </c>
      <c r="H38" s="260">
        <v>500</v>
      </c>
      <c r="I38" s="260">
        <v>276.62</v>
      </c>
      <c r="J38" s="255">
        <v>350</v>
      </c>
      <c r="K38" s="255">
        <v>343.35</v>
      </c>
      <c r="L38" s="259">
        <v>350</v>
      </c>
      <c r="M38" s="259"/>
    </row>
    <row r="39" spans="1:13">
      <c r="A39" s="239" t="s">
        <v>942</v>
      </c>
      <c r="B39" s="239" t="s">
        <v>943</v>
      </c>
      <c r="C39" s="17">
        <v>0</v>
      </c>
      <c r="D39" s="17">
        <v>2000</v>
      </c>
      <c r="E39" s="17"/>
      <c r="F39" s="17">
        <v>500</v>
      </c>
      <c r="G39" s="260"/>
      <c r="H39" s="260">
        <v>350</v>
      </c>
      <c r="I39" s="260">
        <v>221.71</v>
      </c>
      <c r="J39" s="255">
        <v>350</v>
      </c>
      <c r="K39" s="255">
        <v>206.84</v>
      </c>
      <c r="L39" s="259">
        <v>250</v>
      </c>
      <c r="M39" s="259"/>
    </row>
    <row r="40" spans="1:13">
      <c r="B40" s="239" t="s">
        <v>220</v>
      </c>
      <c r="C40" s="17">
        <v>0</v>
      </c>
      <c r="D40" s="17">
        <v>0</v>
      </c>
      <c r="E40" s="17">
        <v>0</v>
      </c>
      <c r="F40" s="17">
        <v>0</v>
      </c>
      <c r="G40" s="260"/>
      <c r="H40" s="260"/>
      <c r="I40" s="260"/>
      <c r="K40" s="255"/>
      <c r="L40" s="259"/>
      <c r="M40" s="259"/>
    </row>
    <row r="41" spans="1:13">
      <c r="B41" s="239" t="s">
        <v>87</v>
      </c>
      <c r="C41" s="17">
        <v>0</v>
      </c>
      <c r="D41" s="17">
        <v>0</v>
      </c>
      <c r="E41" s="17">
        <v>0</v>
      </c>
      <c r="F41" s="17">
        <v>0</v>
      </c>
      <c r="G41" s="260"/>
      <c r="H41" s="260"/>
      <c r="K41" s="255"/>
      <c r="L41" s="259"/>
      <c r="M41" s="259"/>
    </row>
    <row r="42" spans="1:13" ht="13.5" thickBot="1">
      <c r="B42" s="12" t="s">
        <v>13</v>
      </c>
      <c r="C42" s="16">
        <f>SUBTOTAL(109,MarketingGeneralExpenses7581[Budget 14/15])</f>
        <v>29872.230000000003</v>
      </c>
      <c r="D42" s="16">
        <f>SUBTOTAL(109,MarketingGeneralExpenses7581[Budget 15/16])</f>
        <v>34557</v>
      </c>
      <c r="E42" s="16">
        <f>SUBTOTAL(109,MarketingGeneralExpenses7581[actual 15/16])</f>
        <v>20623.800000000003</v>
      </c>
      <c r="F42" s="16">
        <f>SUBTOTAL(109,MarketingGeneralExpenses7581[Budget 16/17])</f>
        <v>31557</v>
      </c>
      <c r="G42" s="16">
        <f>SUBTOTAL(109,MarketingGeneralExpenses7581[Actual 16/17])</f>
        <v>20952.599999999999</v>
      </c>
      <c r="H42" s="16">
        <f>SUBTOTAL(109,MarketingGeneralExpenses7581[Budget 17/18])</f>
        <v>24807</v>
      </c>
      <c r="I42" s="16">
        <f>SUBTOTAL(109,MarketingGeneralExpenses7581[Actual 17/18])</f>
        <v>21554.26</v>
      </c>
      <c r="J42" s="16">
        <f>SUBTOTAL(109,MarketingGeneralExpenses7581[Budget 18/19])</f>
        <v>23890</v>
      </c>
      <c r="K42" s="16">
        <f>SUBTOTAL(109,MarketingGeneralExpenses7581[Actual 18/19])</f>
        <v>19032.410000000003</v>
      </c>
      <c r="L42" s="16">
        <f>SUM(L8:L41)</f>
        <v>55046.720000000001</v>
      </c>
      <c r="M42" s="16"/>
    </row>
    <row r="43" spans="1:13" ht="19.5" thickBot="1">
      <c r="B43" s="513" t="s">
        <v>102</v>
      </c>
      <c r="C43" s="244">
        <f>(MarketingGeneralRevenues7180[[#Totals],[Actual 14/15]]) -MarketingGeneralExpenses7581[[#Totals],[Budget 14/15]]</f>
        <v>-29872.230000000003</v>
      </c>
      <c r="D43" s="244">
        <f>(MarketingGeneralRevenues7180[[#Totals],[Budget 15/16]]) -MarketingGeneralExpenses7581[[#Totals],[Budget 15/16]]</f>
        <v>-34557</v>
      </c>
      <c r="E43" s="257">
        <f>(MarketingGeneralRevenues7180[[#Totals],[Actual 15/16]]) -MarketingGeneralExpenses7581[[#Totals],[actual 15/16]]</f>
        <v>-20623.800000000003</v>
      </c>
      <c r="F43" s="257">
        <f>(MarketingGeneralRevenues7180[[#Totals],[Budget 16/17]])-MarketingGeneralExpenses7581[[#Totals],[Budget 16/17]]</f>
        <v>-31557</v>
      </c>
      <c r="G43" s="257">
        <f>(MarketingGeneralRevenues7180[[#Totals],[Actual 16/17]])-MarketingGeneralExpenses7581[[#Totals],[Actual 16/17]]</f>
        <v>-20952.599999999999</v>
      </c>
      <c r="H43" s="257">
        <f>(MarketingGeneralRevenues7180[[#Totals],[Budget 17/18]])-MarketingGeneralExpenses7581[[#Totals],[Budget 17/18]]</f>
        <v>-24807</v>
      </c>
      <c r="I43" s="257">
        <f>(MarketingGeneralRevenues7180[[#Totals],[Actual 17/18]])-MarketingGeneralExpenses7581[[#Totals],[Actual 17/18]]</f>
        <v>-21554.26</v>
      </c>
      <c r="J43" s="256">
        <f>(MarketingGeneralRevenues7180[[#Totals],[Budget 18/19]])-MarketingGeneralExpenses7581[[#Totals],[Budget 18/19]]</f>
        <v>-23890</v>
      </c>
      <c r="K43" s="256">
        <f>(MarketingGeneralRevenues7180[[#Totals],[Actual 18/19]])-MarketingGeneralExpenses7581[[#Totals],[Actual 18/19]]</f>
        <v>-19032.410000000003</v>
      </c>
      <c r="L43" s="267">
        <f>MarketingGeneralRevenues7180[[#Totals],[Budget 19/20]]-MarketingGeneralExpenses7581[[#Totals],[Budget 19/20]]</f>
        <v>-55046.720000000001</v>
      </c>
      <c r="M43" s="267"/>
    </row>
    <row r="44" spans="1:13">
      <c r="D44" s="241"/>
      <c r="E44" s="241"/>
      <c r="F44" s="241"/>
    </row>
  </sheetData>
  <pageMargins left="0.7" right="0.7" top="0.75" bottom="0.75" header="0.3" footer="0.3"/>
  <pageSetup scale="97" orientation="landscape" r:id="rId1"/>
  <legacyDrawing r:id="rId2"/>
  <tableParts count="2">
    <tablePart r:id="rId3"/>
    <tablePart r:id="rId4"/>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92D050"/>
    <pageSetUpPr fitToPage="1"/>
  </sheetPr>
  <dimension ref="A1:J1"/>
  <sheetViews>
    <sheetView zoomScaleNormal="100" workbookViewId="0">
      <selection activeCell="G15" sqref="G15"/>
    </sheetView>
  </sheetViews>
  <sheetFormatPr defaultColWidth="10" defaultRowHeight="12.75"/>
  <cols>
    <col min="1" max="1" width="19.140625" style="239" customWidth="1"/>
    <col min="2" max="9" width="10" style="239"/>
    <col min="10" max="10" width="10" style="255"/>
    <col min="11" max="16384" width="10" style="239"/>
  </cols>
  <sheetData>
    <row r="1" spans="1:1">
      <c r="A1" s="441" t="s">
        <v>794</v>
      </c>
    </row>
  </sheetData>
  <pageMargins left="0.7" right="0.7" top="0.75" bottom="0.75" header="0.3" footer="0.3"/>
  <pageSetup orientation="landscape"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92D050"/>
    <pageSetUpPr fitToPage="1"/>
  </sheetPr>
  <dimension ref="A1:L36"/>
  <sheetViews>
    <sheetView zoomScaleNormal="100" workbookViewId="0">
      <selection activeCell="I8" sqref="I8"/>
    </sheetView>
  </sheetViews>
  <sheetFormatPr defaultColWidth="10" defaultRowHeight="12.75"/>
  <cols>
    <col min="1" max="1" width="14.140625" style="239" customWidth="1"/>
    <col min="2" max="2" width="49.5703125" style="239" customWidth="1"/>
    <col min="3" max="3" width="13.28515625" style="239" bestFit="1" customWidth="1"/>
    <col min="4" max="4" width="14.140625" style="239" bestFit="1" customWidth="1"/>
    <col min="5" max="6" width="14.28515625" style="239" customWidth="1"/>
    <col min="7" max="8" width="14.140625" style="239" bestFit="1" customWidth="1"/>
    <col min="9" max="11" width="15.85546875" style="239" bestFit="1" customWidth="1"/>
    <col min="12" max="14" width="14.140625" style="239" bestFit="1" customWidth="1"/>
    <col min="15" max="16" width="15.85546875" style="239" bestFit="1" customWidth="1"/>
    <col min="17" max="17" width="17.7109375" style="239" bestFit="1" customWidth="1"/>
    <col min="18" max="16384" width="10" style="239"/>
  </cols>
  <sheetData>
    <row r="1" spans="1:7" ht="21">
      <c r="B1" s="235" t="s">
        <v>944</v>
      </c>
    </row>
    <row r="2" spans="1:7" ht="15">
      <c r="B2" s="234" t="s">
        <v>805</v>
      </c>
    </row>
    <row r="3" spans="1:7">
      <c r="B3" s="239" t="s">
        <v>47</v>
      </c>
      <c r="C3" s="239" t="s">
        <v>104</v>
      </c>
      <c r="D3" s="510" t="s">
        <v>6</v>
      </c>
      <c r="E3" s="511" t="s">
        <v>7</v>
      </c>
      <c r="F3" s="511" t="s">
        <v>8</v>
      </c>
      <c r="G3" s="253" t="s">
        <v>35</v>
      </c>
    </row>
    <row r="4" spans="1:7">
      <c r="B4" s="239" t="s">
        <v>289</v>
      </c>
      <c r="C4" s="17">
        <v>0</v>
      </c>
      <c r="D4" s="17">
        <v>0</v>
      </c>
      <c r="E4" s="17">
        <v>0</v>
      </c>
      <c r="F4" s="17">
        <v>0</v>
      </c>
    </row>
    <row r="5" spans="1:7">
      <c r="B5" s="247" t="s">
        <v>13</v>
      </c>
      <c r="C5" s="246">
        <f>SUBTOTAL(109,MarketingGeneralRevenues718014[Actual 14/15])</f>
        <v>0</v>
      </c>
      <c r="D5" s="246">
        <f>SUBTOTAL(109,MarketingGeneralRevenues718014[Budget 18/19])</f>
        <v>0</v>
      </c>
      <c r="E5" s="246">
        <f>SUBTOTAL(109,MarketingGeneralRevenues718014[Actual 18/19])</f>
        <v>0</v>
      </c>
      <c r="F5" s="246">
        <f>SUBTOTAL(109,MarketingGeneralRevenues718014[Actual 18/19])</f>
        <v>0</v>
      </c>
      <c r="G5" s="246"/>
    </row>
    <row r="7" spans="1:7">
      <c r="B7" s="239" t="s">
        <v>61</v>
      </c>
      <c r="C7" s="239" t="s">
        <v>19</v>
      </c>
      <c r="D7" s="510" t="s">
        <v>6</v>
      </c>
      <c r="E7" s="511" t="s">
        <v>7</v>
      </c>
      <c r="F7" s="511" t="s">
        <v>8</v>
      </c>
      <c r="G7" s="253" t="s">
        <v>35</v>
      </c>
    </row>
    <row r="8" spans="1:7" ht="15">
      <c r="B8" s="442" t="s">
        <v>897</v>
      </c>
      <c r="C8" s="246"/>
      <c r="D8" s="405"/>
      <c r="E8" s="443"/>
      <c r="F8" s="444">
        <v>27991.51</v>
      </c>
      <c r="G8" s="226"/>
    </row>
    <row r="9" spans="1:7">
      <c r="A9" s="239" t="s">
        <v>945</v>
      </c>
      <c r="B9" s="239" t="s">
        <v>70</v>
      </c>
      <c r="C9" s="17"/>
      <c r="D9" s="255">
        <v>300</v>
      </c>
      <c r="E9" s="17">
        <v>277.39999999999998</v>
      </c>
      <c r="F9" s="17">
        <v>0</v>
      </c>
      <c r="G9" s="260"/>
    </row>
    <row r="10" spans="1:7">
      <c r="A10" s="239" t="s">
        <v>946</v>
      </c>
      <c r="B10" s="239" t="s">
        <v>72</v>
      </c>
      <c r="C10" s="17"/>
      <c r="D10" s="255">
        <v>240</v>
      </c>
      <c r="E10" s="17">
        <v>140</v>
      </c>
      <c r="F10" s="17"/>
      <c r="G10" s="260"/>
    </row>
    <row r="11" spans="1:7">
      <c r="B11" s="239" t="s">
        <v>74</v>
      </c>
      <c r="C11" s="17"/>
      <c r="D11" s="255"/>
      <c r="E11" s="17"/>
      <c r="F11" s="17"/>
      <c r="G11" s="260"/>
    </row>
    <row r="12" spans="1:7">
      <c r="A12" s="239" t="s">
        <v>947</v>
      </c>
      <c r="B12" s="239" t="s">
        <v>77</v>
      </c>
      <c r="C12" s="17"/>
      <c r="D12" s="255">
        <v>50</v>
      </c>
      <c r="E12" s="17"/>
      <c r="F12" s="17"/>
      <c r="G12" s="260"/>
    </row>
    <row r="13" spans="1:7">
      <c r="A13" s="239" t="s">
        <v>948</v>
      </c>
      <c r="B13" s="239" t="s">
        <v>197</v>
      </c>
      <c r="C13" s="17"/>
      <c r="D13" s="255">
        <v>750</v>
      </c>
      <c r="E13" s="17">
        <v>1021.3</v>
      </c>
      <c r="F13" s="17">
        <v>1000</v>
      </c>
      <c r="G13" s="260"/>
    </row>
    <row r="14" spans="1:7">
      <c r="A14" s="239" t="s">
        <v>949</v>
      </c>
      <c r="B14" s="239" t="s">
        <v>820</v>
      </c>
      <c r="C14" s="17"/>
      <c r="D14" s="255">
        <v>200</v>
      </c>
      <c r="E14" s="17">
        <v>82.86</v>
      </c>
      <c r="F14" s="17">
        <v>100</v>
      </c>
      <c r="G14" s="260"/>
    </row>
    <row r="15" spans="1:7">
      <c r="A15" s="239" t="s">
        <v>950</v>
      </c>
      <c r="B15" s="239" t="s">
        <v>757</v>
      </c>
      <c r="C15" s="17"/>
      <c r="D15" s="255">
        <v>200</v>
      </c>
      <c r="E15" s="17">
        <v>146.97</v>
      </c>
      <c r="F15" s="17">
        <v>100</v>
      </c>
      <c r="G15" s="260"/>
    </row>
    <row r="16" spans="1:7">
      <c r="A16" s="239" t="s">
        <v>951</v>
      </c>
      <c r="B16" s="239" t="s">
        <v>823</v>
      </c>
      <c r="C16" s="17"/>
      <c r="D16" s="255">
        <v>1000</v>
      </c>
      <c r="E16" s="17">
        <v>1000</v>
      </c>
      <c r="F16" s="17">
        <v>1000</v>
      </c>
      <c r="G16" s="260"/>
    </row>
    <row r="17" spans="1:11">
      <c r="B17" s="239" t="s">
        <v>825</v>
      </c>
      <c r="C17" s="17"/>
      <c r="D17" s="255"/>
      <c r="E17" s="17"/>
      <c r="F17" s="17"/>
      <c r="G17" s="260"/>
    </row>
    <row r="18" spans="1:11">
      <c r="A18" s="239" t="s">
        <v>952</v>
      </c>
      <c r="B18" s="239" t="s">
        <v>289</v>
      </c>
      <c r="C18" s="17"/>
      <c r="D18" s="255">
        <v>1000</v>
      </c>
      <c r="E18" s="17">
        <v>353.12</v>
      </c>
      <c r="F18" s="17">
        <v>500</v>
      </c>
      <c r="G18" s="260"/>
    </row>
    <row r="19" spans="1:11">
      <c r="A19" s="239" t="s">
        <v>953</v>
      </c>
      <c r="B19" s="239" t="s">
        <v>954</v>
      </c>
      <c r="C19" s="17"/>
      <c r="D19" s="255">
        <v>1500</v>
      </c>
      <c r="E19" s="17">
        <v>876.88</v>
      </c>
      <c r="F19" s="17">
        <v>1500</v>
      </c>
      <c r="G19" s="260"/>
    </row>
    <row r="20" spans="1:11">
      <c r="A20" s="239" t="s">
        <v>955</v>
      </c>
      <c r="B20" s="239" t="s">
        <v>956</v>
      </c>
      <c r="C20" s="17"/>
      <c r="D20" s="255">
        <v>500</v>
      </c>
      <c r="E20" s="17">
        <v>227.68</v>
      </c>
      <c r="F20" s="17">
        <v>0</v>
      </c>
      <c r="G20" s="260"/>
    </row>
    <row r="21" spans="1:11">
      <c r="A21" s="239" t="s">
        <v>957</v>
      </c>
      <c r="B21" s="239" t="s">
        <v>958</v>
      </c>
      <c r="C21" s="17"/>
      <c r="D21" s="255">
        <v>300</v>
      </c>
      <c r="E21" s="17">
        <v>20.21</v>
      </c>
      <c r="F21" s="17">
        <v>300</v>
      </c>
      <c r="G21" s="260"/>
    </row>
    <row r="22" spans="1:11">
      <c r="A22" s="239" t="s">
        <v>959</v>
      </c>
      <c r="B22" s="239" t="s">
        <v>960</v>
      </c>
      <c r="C22" s="17"/>
      <c r="D22" s="255">
        <v>1500</v>
      </c>
      <c r="E22" s="17">
        <v>712.46</v>
      </c>
      <c r="F22" s="17">
        <v>1000</v>
      </c>
      <c r="G22" s="260"/>
    </row>
    <row r="23" spans="1:11">
      <c r="A23" s="239" t="s">
        <v>961</v>
      </c>
      <c r="B23" s="239" t="s">
        <v>962</v>
      </c>
      <c r="C23" s="17"/>
      <c r="D23" s="255">
        <v>1500</v>
      </c>
      <c r="E23" s="17">
        <v>15.56</v>
      </c>
      <c r="F23" s="17">
        <v>300</v>
      </c>
      <c r="G23" s="260"/>
    </row>
    <row r="24" spans="1:11">
      <c r="B24" s="239" t="s">
        <v>308</v>
      </c>
      <c r="C24" s="17"/>
      <c r="D24" s="255"/>
      <c r="E24" s="17"/>
      <c r="F24" s="17">
        <v>200</v>
      </c>
      <c r="G24" s="260"/>
      <c r="K24" s="241"/>
    </row>
    <row r="25" spans="1:11">
      <c r="B25" s="239" t="s">
        <v>963</v>
      </c>
      <c r="C25" s="17"/>
      <c r="D25" s="255"/>
      <c r="E25" s="17"/>
      <c r="F25" s="17"/>
      <c r="G25" s="260"/>
      <c r="K25" s="241"/>
    </row>
    <row r="26" spans="1:11">
      <c r="A26" s="239" t="s">
        <v>964</v>
      </c>
      <c r="B26" s="239" t="s">
        <v>965</v>
      </c>
      <c r="C26" s="17"/>
      <c r="D26" s="255">
        <v>1000</v>
      </c>
      <c r="E26" s="17"/>
      <c r="F26" s="17"/>
      <c r="G26" s="260"/>
    </row>
    <row r="27" spans="1:11">
      <c r="A27" s="239" t="s">
        <v>966</v>
      </c>
      <c r="B27" s="239" t="s">
        <v>89</v>
      </c>
      <c r="C27" s="17">
        <v>0</v>
      </c>
      <c r="D27" s="255">
        <v>300</v>
      </c>
      <c r="E27" s="17">
        <f>5122.29-4874.44</f>
        <v>247.85000000000036</v>
      </c>
      <c r="F27" s="17">
        <v>300</v>
      </c>
      <c r="G27" s="260"/>
    </row>
    <row r="28" spans="1:11">
      <c r="B28" s="239" t="s">
        <v>220</v>
      </c>
      <c r="C28" s="17">
        <v>0</v>
      </c>
      <c r="D28" s="255"/>
      <c r="E28" s="17"/>
      <c r="F28" s="17"/>
      <c r="G28" s="260"/>
    </row>
    <row r="29" spans="1:11">
      <c r="B29" s="239" t="s">
        <v>87</v>
      </c>
      <c r="C29" s="17">
        <v>0</v>
      </c>
      <c r="D29" s="255"/>
      <c r="E29" s="17"/>
      <c r="F29" s="17"/>
      <c r="G29" s="260"/>
    </row>
    <row r="30" spans="1:11">
      <c r="C30" s="189"/>
      <c r="D30" s="246"/>
      <c r="E30" s="189"/>
      <c r="F30" s="189"/>
      <c r="J30" s="241"/>
    </row>
    <row r="31" spans="1:11">
      <c r="B31" s="247"/>
      <c r="C31" s="273"/>
      <c r="D31" s="270"/>
      <c r="E31" s="273"/>
      <c r="F31" s="273"/>
      <c r="G31" s="246"/>
    </row>
    <row r="32" spans="1:11" ht="13.5" thickBot="1">
      <c r="B32" t="s">
        <v>13</v>
      </c>
      <c r="C32" s="16">
        <f>SUBTOTAL(109,MarketingGeneralExpenses758115[Column1])</f>
        <v>0</v>
      </c>
      <c r="D32" s="16">
        <f>SUBTOTAL(109,MarketingGeneralExpenses758115[Budget 18/19])</f>
        <v>10340</v>
      </c>
      <c r="E32" s="16">
        <f>SUBTOTAL(109,MarketingGeneralExpenses758115[Actual 18/19])</f>
        <v>5122.2900000000009</v>
      </c>
      <c r="F32" s="16">
        <f>SUBTOTAL(109,MarketingGeneralExpenses758115[Budget 19/20])</f>
        <v>34291.509999999995</v>
      </c>
      <c r="G32" s="16"/>
    </row>
    <row r="33" spans="2:12" ht="19.5" thickBot="1">
      <c r="B33" s="513" t="s">
        <v>102</v>
      </c>
      <c r="C33" s="244">
        <f>(MarketingGeneralRevenues718014[[#Totals],[Actual 14/15]]) -MarketingGeneralExpenses758115[[#Totals],[Column1]]</f>
        <v>0</v>
      </c>
      <c r="D33" s="272">
        <f>-MarketingGeneralExpenses758115[[#Totals],[Budget 18/19]]</f>
        <v>-10340</v>
      </c>
      <c r="E33" s="257">
        <f>(MarketingGeneralRevenues718014[[#Totals],[Actual 18/19]]) -MarketingGeneralExpenses758115[[#Totals],[Actual 18/19]]</f>
        <v>-5122.2900000000009</v>
      </c>
      <c r="F33" s="257">
        <f>(MarketingGeneralRevenues718014[[#Totals],[Budget 19/20]])-MarketingGeneralExpenses758115[[#Totals],[Budget 19/20]]</f>
        <v>-34291.509999999995</v>
      </c>
      <c r="G33" s="257"/>
    </row>
    <row r="34" spans="2:12">
      <c r="D34" s="241"/>
      <c r="E34" s="241"/>
      <c r="F34" s="241"/>
    </row>
    <row r="35" spans="2:12">
      <c r="L35" s="241"/>
    </row>
    <row r="36" spans="2:12">
      <c r="L36" s="241"/>
    </row>
  </sheetData>
  <pageMargins left="0.7" right="0.7" top="0.75" bottom="0.75" header="0.3" footer="0.3"/>
  <pageSetup scale="69" orientation="landscape" r:id="rId1"/>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A1:V43"/>
  <sheetViews>
    <sheetView showGridLines="0" zoomScaleNormal="100" workbookViewId="0">
      <selection activeCell="A13" sqref="A13"/>
    </sheetView>
  </sheetViews>
  <sheetFormatPr defaultColWidth="11.42578125" defaultRowHeight="12.75"/>
  <cols>
    <col min="1" max="1" width="13.85546875" customWidth="1"/>
    <col min="2" max="2" width="36.42578125" customWidth="1"/>
    <col min="3" max="13" width="16.85546875" hidden="1" customWidth="1"/>
    <col min="14" max="14" width="16" style="148" hidden="1" customWidth="1"/>
    <col min="15" max="15" width="14.28515625" hidden="1" customWidth="1"/>
    <col min="16" max="16" width="15.28515625" hidden="1" customWidth="1"/>
    <col min="17" max="17" width="18" customWidth="1"/>
    <col min="18" max="18" width="17.5703125" customWidth="1"/>
    <col min="19" max="19" width="17.28515625" customWidth="1"/>
    <col min="20" max="20" width="16.28515625" customWidth="1"/>
    <col min="21" max="21" width="16.85546875" bestFit="1" customWidth="1"/>
    <col min="22" max="22" width="14.5703125" bestFit="1" customWidth="1"/>
  </cols>
  <sheetData>
    <row r="1" spans="1:22" ht="18">
      <c r="A1" s="534" t="s">
        <v>103</v>
      </c>
      <c r="B1" s="534"/>
      <c r="C1" s="7"/>
      <c r="D1" s="7"/>
      <c r="E1" s="7"/>
      <c r="F1" s="7"/>
      <c r="G1" s="7"/>
      <c r="H1" s="7"/>
      <c r="I1" s="7"/>
      <c r="J1" s="7"/>
      <c r="K1" s="7"/>
      <c r="L1" s="7"/>
      <c r="M1" s="7"/>
    </row>
    <row r="2" spans="1:22">
      <c r="A2" s="535" t="s">
        <v>46</v>
      </c>
      <c r="B2" s="535"/>
      <c r="C2" s="8"/>
      <c r="D2" s="8"/>
      <c r="E2" s="8"/>
      <c r="F2" s="8"/>
      <c r="G2" s="8"/>
      <c r="H2" s="8"/>
      <c r="I2" s="8"/>
      <c r="J2" s="8"/>
      <c r="K2" s="8"/>
      <c r="L2" s="8"/>
      <c r="M2" s="8"/>
    </row>
    <row r="3" spans="1:22">
      <c r="A3" s="8"/>
      <c r="B3" s="8"/>
      <c r="C3" s="8"/>
      <c r="D3" s="8"/>
      <c r="E3" s="8"/>
      <c r="F3" s="8"/>
      <c r="G3" s="8"/>
      <c r="H3" s="8"/>
      <c r="I3" s="8"/>
      <c r="J3" s="8"/>
      <c r="K3" s="8"/>
      <c r="L3" s="8"/>
      <c r="M3" s="8"/>
    </row>
    <row r="4" spans="1:22">
      <c r="A4" s="8"/>
      <c r="B4" s="8" t="s">
        <v>47</v>
      </c>
      <c r="C4" s="8" t="s">
        <v>48</v>
      </c>
      <c r="D4" s="8" t="s">
        <v>49</v>
      </c>
      <c r="E4" s="8" t="s">
        <v>50</v>
      </c>
      <c r="F4" s="8" t="s">
        <v>51</v>
      </c>
      <c r="G4" s="8" t="s">
        <v>52</v>
      </c>
      <c r="H4" s="8" t="s">
        <v>53</v>
      </c>
      <c r="I4" s="8" t="s">
        <v>54</v>
      </c>
      <c r="J4" s="8" t="s">
        <v>55</v>
      </c>
      <c r="K4" s="8" t="s">
        <v>56</v>
      </c>
      <c r="L4" s="8" t="s">
        <v>104</v>
      </c>
      <c r="M4" s="8" t="s">
        <v>29</v>
      </c>
      <c r="N4" s="124" t="s">
        <v>30</v>
      </c>
      <c r="O4" s="8" t="s">
        <v>31</v>
      </c>
      <c r="P4" s="8" t="s">
        <v>32</v>
      </c>
      <c r="Q4" s="8" t="s">
        <v>33</v>
      </c>
      <c r="R4" s="8" t="s">
        <v>34</v>
      </c>
      <c r="S4" s="8" t="s">
        <v>6</v>
      </c>
      <c r="T4" s="8" t="s">
        <v>7</v>
      </c>
      <c r="U4" s="8" t="s">
        <v>8</v>
      </c>
      <c r="V4" s="8" t="s">
        <v>105</v>
      </c>
    </row>
    <row r="5" spans="1:22" ht="13.5" thickBot="1">
      <c r="A5" s="8"/>
      <c r="B5" s="8" t="s">
        <v>106</v>
      </c>
      <c r="C5" s="24">
        <v>0</v>
      </c>
      <c r="D5" s="24">
        <v>0</v>
      </c>
      <c r="E5" s="24">
        <v>0</v>
      </c>
      <c r="F5" s="24">
        <v>0</v>
      </c>
      <c r="G5" s="24">
        <v>0</v>
      </c>
      <c r="H5" s="24">
        <v>0</v>
      </c>
      <c r="I5" s="24">
        <v>0</v>
      </c>
      <c r="J5" s="24">
        <v>0</v>
      </c>
      <c r="K5" s="24">
        <v>0</v>
      </c>
      <c r="L5" s="24">
        <v>0</v>
      </c>
      <c r="M5" s="24">
        <v>0</v>
      </c>
      <c r="N5" s="139">
        <v>0</v>
      </c>
      <c r="O5" s="24">
        <v>0</v>
      </c>
      <c r="P5" s="181"/>
      <c r="Q5" s="181"/>
      <c r="R5" s="181"/>
      <c r="S5" s="181"/>
      <c r="T5" s="181"/>
      <c r="U5" s="181">
        <v>2740</v>
      </c>
      <c r="V5" s="301"/>
    </row>
    <row r="6" spans="1:22" ht="13.5" thickBot="1">
      <c r="A6" s="8"/>
      <c r="B6" s="8" t="s">
        <v>13</v>
      </c>
      <c r="C6" s="16">
        <f>SUBTOTAL(109,StudentGovernmentRevenues[Budget 10/11])</f>
        <v>0</v>
      </c>
      <c r="D6" s="16">
        <f>SUBTOTAL(109,StudentGovernmentRevenues[Actual 10/11])</f>
        <v>0</v>
      </c>
      <c r="E6" s="16">
        <f>SUBTOTAL(109,StudentGovernmentRevenues[Budget 11/12])</f>
        <v>0</v>
      </c>
      <c r="F6" s="16">
        <f>SUBTOTAL(109,StudentGovernmentRevenues[Actual 11/12])</f>
        <v>0</v>
      </c>
      <c r="G6" s="16">
        <f>SUBTOTAL(109,StudentGovernmentRevenues[Budget 12/13])</f>
        <v>0</v>
      </c>
      <c r="H6" s="16">
        <f>SUBTOTAL(109,StudentGovernmentRevenues[Actual 12/13])</f>
        <v>0</v>
      </c>
      <c r="I6" s="16">
        <f>SUBTOTAL(109,StudentGovernmentRevenues[Budget 13/14])</f>
        <v>0</v>
      </c>
      <c r="J6" s="16">
        <f>SUBTOTAL(109,StudentGovernmentRevenues[Actual 13/14])</f>
        <v>0</v>
      </c>
      <c r="K6" s="16">
        <f>SUBTOTAL(109,StudentGovernmentRevenues[Budget 14/15])</f>
        <v>0</v>
      </c>
      <c r="L6" s="16">
        <f>SUBTOTAL(109,StudentGovernmentRevenues[Actual 14/15])</f>
        <v>0</v>
      </c>
      <c r="M6" s="16">
        <f>SUBTOTAL(109,StudentGovernmentRevenues[Budget 15/16])</f>
        <v>0</v>
      </c>
      <c r="N6" s="140">
        <f>SUBTOTAL(109,StudentGovernmentRevenues[Actual 15/16])</f>
        <v>0</v>
      </c>
      <c r="O6" s="16">
        <f>SUBTOTAL(109,StudentGovernmentRevenues[Budget 16/17])</f>
        <v>0</v>
      </c>
      <c r="P6" s="8"/>
      <c r="Q6" s="453"/>
      <c r="R6" s="309"/>
      <c r="S6" s="309"/>
      <c r="T6" s="309"/>
      <c r="U6" s="311">
        <f>StudentGovernmentRevenues[Budget 19/20]</f>
        <v>2740</v>
      </c>
    </row>
    <row r="7" spans="1:22">
      <c r="A7" s="8"/>
      <c r="B7" s="8"/>
      <c r="C7" s="39"/>
      <c r="D7" s="39"/>
      <c r="E7" s="39"/>
      <c r="F7" s="39"/>
      <c r="G7" s="39"/>
      <c r="H7" s="39"/>
      <c r="I7" s="39"/>
      <c r="J7" s="39"/>
      <c r="K7" s="39"/>
      <c r="L7" s="39"/>
      <c r="M7" s="39"/>
    </row>
    <row r="8" spans="1:22">
      <c r="A8" s="36"/>
      <c r="B8" s="8"/>
      <c r="C8" s="8"/>
      <c r="D8" s="8"/>
      <c r="E8" s="8"/>
      <c r="F8" s="8"/>
      <c r="G8" s="8"/>
      <c r="H8" s="8"/>
      <c r="I8" s="8"/>
      <c r="J8" s="8"/>
      <c r="K8" s="8"/>
      <c r="L8" s="8"/>
      <c r="M8" s="8"/>
    </row>
    <row r="9" spans="1:22">
      <c r="A9" s="48" t="s">
        <v>107</v>
      </c>
      <c r="B9" s="8" t="s">
        <v>61</v>
      </c>
      <c r="C9" s="8" t="s">
        <v>48</v>
      </c>
      <c r="D9" s="8" t="s">
        <v>49</v>
      </c>
      <c r="E9" s="8" t="s">
        <v>50</v>
      </c>
      <c r="F9" s="8" t="s">
        <v>51</v>
      </c>
      <c r="G9" s="8" t="s">
        <v>52</v>
      </c>
      <c r="H9" s="8" t="s">
        <v>53</v>
      </c>
      <c r="I9" s="8" t="s">
        <v>54</v>
      </c>
      <c r="J9" s="8" t="s">
        <v>55</v>
      </c>
      <c r="K9" s="8" t="s">
        <v>56</v>
      </c>
      <c r="L9" s="8" t="s">
        <v>104</v>
      </c>
      <c r="M9" s="8" t="s">
        <v>29</v>
      </c>
      <c r="N9" s="124" t="s">
        <v>30</v>
      </c>
      <c r="O9" s="8" t="s">
        <v>31</v>
      </c>
      <c r="P9" s="8" t="s">
        <v>32</v>
      </c>
      <c r="Q9" s="8" t="s">
        <v>33</v>
      </c>
      <c r="R9" s="454" t="s">
        <v>34</v>
      </c>
      <c r="S9" s="454" t="s">
        <v>6</v>
      </c>
      <c r="T9" s="454" t="s">
        <v>7</v>
      </c>
      <c r="U9" s="454" t="s">
        <v>8</v>
      </c>
      <c r="V9" s="454" t="s">
        <v>105</v>
      </c>
    </row>
    <row r="10" spans="1:22">
      <c r="A10" s="48" t="s">
        <v>108</v>
      </c>
      <c r="B10" s="8" t="s">
        <v>109</v>
      </c>
      <c r="C10" s="24">
        <v>0</v>
      </c>
      <c r="D10" s="24">
        <v>0</v>
      </c>
      <c r="E10" s="24">
        <v>0</v>
      </c>
      <c r="F10" s="24">
        <v>0</v>
      </c>
      <c r="G10" s="24">
        <v>0</v>
      </c>
      <c r="H10" s="24">
        <v>125</v>
      </c>
      <c r="I10" s="24">
        <v>0</v>
      </c>
      <c r="J10" s="24">
        <v>0</v>
      </c>
      <c r="K10" s="24">
        <v>0</v>
      </c>
      <c r="L10" s="24">
        <v>0</v>
      </c>
      <c r="M10" s="24">
        <v>0</v>
      </c>
      <c r="N10" s="139">
        <v>669.53</v>
      </c>
      <c r="O10" s="24">
        <v>0</v>
      </c>
      <c r="P10" s="300"/>
      <c r="Q10" s="181"/>
      <c r="R10" s="455"/>
      <c r="S10" s="455"/>
      <c r="T10" s="455"/>
      <c r="U10" s="455"/>
      <c r="V10" s="455"/>
    </row>
    <row r="11" spans="1:22">
      <c r="A11" s="48" t="s">
        <v>110</v>
      </c>
      <c r="B11" s="26" t="s">
        <v>111</v>
      </c>
      <c r="C11" s="24"/>
      <c r="D11" s="24"/>
      <c r="E11" s="24"/>
      <c r="F11" s="24"/>
      <c r="G11" s="24"/>
      <c r="H11" s="24"/>
      <c r="I11" s="24"/>
      <c r="J11" s="24"/>
      <c r="K11" s="24"/>
      <c r="L11" s="24"/>
      <c r="M11" s="24"/>
      <c r="N11" s="139"/>
      <c r="O11" s="24"/>
      <c r="P11" s="300"/>
      <c r="Q11" s="181"/>
      <c r="R11" s="456"/>
      <c r="S11" s="456"/>
      <c r="T11" s="456"/>
      <c r="U11" s="457">
        <v>1000</v>
      </c>
      <c r="V11" s="456"/>
    </row>
    <row r="12" spans="1:22">
      <c r="A12" s="48"/>
      <c r="B12" s="26" t="s">
        <v>112</v>
      </c>
      <c r="C12" s="24"/>
      <c r="D12" s="24"/>
      <c r="E12" s="24"/>
      <c r="F12" s="24"/>
      <c r="G12" s="24"/>
      <c r="H12" s="24"/>
      <c r="I12" s="24"/>
      <c r="J12" s="24"/>
      <c r="K12" s="24"/>
      <c r="L12" s="24"/>
      <c r="M12" s="24"/>
      <c r="N12" s="139"/>
      <c r="O12" s="24"/>
      <c r="P12" s="300"/>
      <c r="Q12" s="181"/>
      <c r="R12" s="456"/>
      <c r="S12" s="456"/>
      <c r="T12" s="456"/>
      <c r="U12" s="457">
        <v>2000</v>
      </c>
      <c r="V12" s="456"/>
    </row>
    <row r="13" spans="1:22">
      <c r="A13" s="48" t="s">
        <v>110</v>
      </c>
      <c r="B13" s="8" t="s">
        <v>113</v>
      </c>
      <c r="C13" s="24">
        <v>1000</v>
      </c>
      <c r="D13" s="24">
        <v>457.98</v>
      </c>
      <c r="E13" s="24">
        <v>300</v>
      </c>
      <c r="F13" s="24">
        <v>0</v>
      </c>
      <c r="G13" s="24">
        <v>0</v>
      </c>
      <c r="H13" s="24">
        <v>0</v>
      </c>
      <c r="I13" s="24">
        <v>500</v>
      </c>
      <c r="J13" s="24">
        <v>500</v>
      </c>
      <c r="K13" s="24">
        <v>500</v>
      </c>
      <c r="L13" s="24">
        <v>500</v>
      </c>
      <c r="M13" s="24">
        <v>1250</v>
      </c>
      <c r="N13" s="139">
        <v>0</v>
      </c>
      <c r="O13" s="24">
        <v>1250</v>
      </c>
      <c r="P13" s="300">
        <v>500</v>
      </c>
      <c r="Q13" s="181">
        <v>1250</v>
      </c>
      <c r="R13" s="455">
        <v>1000</v>
      </c>
      <c r="S13" s="455"/>
      <c r="T13" s="455">
        <v>1500</v>
      </c>
      <c r="U13" s="455"/>
      <c r="V13" s="455"/>
    </row>
    <row r="14" spans="1:22">
      <c r="B14" s="8" t="s">
        <v>114</v>
      </c>
      <c r="C14" s="24"/>
      <c r="D14" s="24"/>
      <c r="E14" s="24"/>
      <c r="F14" s="24"/>
      <c r="G14" s="24"/>
      <c r="H14" s="24"/>
      <c r="I14" s="24"/>
      <c r="J14" s="24"/>
      <c r="K14" s="24"/>
      <c r="L14" s="24"/>
      <c r="M14" s="24"/>
      <c r="N14" s="139"/>
      <c r="O14" s="24"/>
      <c r="P14" s="300"/>
      <c r="Q14" s="181"/>
      <c r="R14" s="455"/>
      <c r="S14" s="455">
        <v>750</v>
      </c>
      <c r="T14" s="455"/>
      <c r="U14" s="455">
        <f>500*3+250*3</f>
        <v>2250</v>
      </c>
      <c r="V14" s="455"/>
    </row>
    <row r="15" spans="1:22">
      <c r="B15" s="8" t="s">
        <v>115</v>
      </c>
      <c r="C15" s="24"/>
      <c r="D15" s="24"/>
      <c r="E15" s="24"/>
      <c r="F15" s="24"/>
      <c r="G15" s="24"/>
      <c r="H15" s="24"/>
      <c r="I15" s="24"/>
      <c r="J15" s="24"/>
      <c r="K15" s="24"/>
      <c r="L15" s="24"/>
      <c r="M15" s="24"/>
      <c r="N15" s="139"/>
      <c r="O15" s="24"/>
      <c r="P15" s="300"/>
      <c r="Q15" s="181"/>
      <c r="R15" s="455"/>
      <c r="S15" s="455">
        <v>750</v>
      </c>
      <c r="T15" s="455"/>
      <c r="U15" s="455">
        <f>500*3</f>
        <v>1500</v>
      </c>
      <c r="V15" s="455"/>
    </row>
    <row r="16" spans="1:22">
      <c r="B16" s="8" t="s">
        <v>116</v>
      </c>
      <c r="C16" s="24">
        <v>300</v>
      </c>
      <c r="D16" s="24">
        <v>0</v>
      </c>
      <c r="E16" s="24">
        <v>1300</v>
      </c>
      <c r="F16" s="24">
        <v>1623.4</v>
      </c>
      <c r="G16" s="24">
        <v>4600</v>
      </c>
      <c r="H16" s="24">
        <v>325</v>
      </c>
      <c r="I16" s="24">
        <v>0</v>
      </c>
      <c r="J16" s="24">
        <v>-225</v>
      </c>
      <c r="K16" s="24">
        <v>0</v>
      </c>
      <c r="L16" s="24">
        <v>0</v>
      </c>
      <c r="M16" s="24">
        <v>0</v>
      </c>
      <c r="N16" s="139">
        <v>0</v>
      </c>
      <c r="O16" s="24">
        <v>0</v>
      </c>
      <c r="P16" s="300"/>
      <c r="Q16" s="181"/>
      <c r="R16" s="455">
        <v>1561.87</v>
      </c>
      <c r="S16" s="455"/>
      <c r="T16" s="455"/>
      <c r="U16" s="455"/>
      <c r="V16" s="455"/>
    </row>
    <row r="17" spans="1:22">
      <c r="A17" s="48" t="s">
        <v>117</v>
      </c>
      <c r="B17" s="8" t="s">
        <v>77</v>
      </c>
      <c r="C17" s="24">
        <v>125</v>
      </c>
      <c r="D17" s="24">
        <v>0</v>
      </c>
      <c r="E17" s="24">
        <v>0</v>
      </c>
      <c r="F17" s="24">
        <v>0</v>
      </c>
      <c r="G17" s="24">
        <v>0</v>
      </c>
      <c r="H17" s="24">
        <v>0</v>
      </c>
      <c r="I17" s="24">
        <v>0</v>
      </c>
      <c r="J17" s="24">
        <v>0</v>
      </c>
      <c r="K17" s="24">
        <v>0</v>
      </c>
      <c r="L17" s="24">
        <v>0</v>
      </c>
      <c r="M17" s="24">
        <v>0</v>
      </c>
      <c r="N17" s="139">
        <v>0</v>
      </c>
      <c r="O17" s="24">
        <v>0</v>
      </c>
      <c r="P17" s="300"/>
      <c r="Q17" s="181"/>
      <c r="R17" s="455"/>
      <c r="S17" s="455"/>
      <c r="T17" s="455"/>
      <c r="U17" s="455"/>
      <c r="V17" s="455"/>
    </row>
    <row r="18" spans="1:22">
      <c r="A18" s="48" t="s">
        <v>118</v>
      </c>
      <c r="B18" s="8" t="s">
        <v>81</v>
      </c>
      <c r="C18" s="24">
        <v>500</v>
      </c>
      <c r="D18" s="24">
        <v>436.71</v>
      </c>
      <c r="E18" s="24">
        <v>500</v>
      </c>
      <c r="F18" s="24">
        <v>345.35</v>
      </c>
      <c r="G18" s="24">
        <v>500</v>
      </c>
      <c r="H18" s="24">
        <v>978.84</v>
      </c>
      <c r="I18" s="24">
        <v>500</v>
      </c>
      <c r="J18" s="24">
        <v>1093.6300000000001</v>
      </c>
      <c r="K18" s="24">
        <v>500</v>
      </c>
      <c r="L18" s="24">
        <v>198.3</v>
      </c>
      <c r="M18" s="24">
        <v>500</v>
      </c>
      <c r="N18" s="139">
        <v>228.92</v>
      </c>
      <c r="O18" s="24">
        <v>500</v>
      </c>
      <c r="P18" s="300">
        <v>105.62</v>
      </c>
      <c r="Q18" s="181">
        <v>500</v>
      </c>
      <c r="R18" s="455"/>
      <c r="S18" s="455"/>
      <c r="T18" s="455">
        <v>1098.3900000000001</v>
      </c>
      <c r="U18" s="455"/>
      <c r="V18" s="455"/>
    </row>
    <row r="19" spans="1:22">
      <c r="A19" s="48" t="s">
        <v>119</v>
      </c>
      <c r="B19" s="8" t="s">
        <v>114</v>
      </c>
      <c r="C19" s="24"/>
      <c r="D19" s="24"/>
      <c r="E19" s="24"/>
      <c r="F19" s="24"/>
      <c r="G19" s="24"/>
      <c r="H19" s="24"/>
      <c r="I19" s="24"/>
      <c r="J19" s="24"/>
      <c r="K19" s="24"/>
      <c r="L19" s="24"/>
      <c r="M19" s="24"/>
      <c r="N19" s="139"/>
      <c r="O19" s="24"/>
      <c r="P19" s="300"/>
      <c r="Q19" s="181"/>
      <c r="R19" s="455"/>
      <c r="S19" s="455">
        <v>900</v>
      </c>
      <c r="T19" s="455"/>
      <c r="U19" s="455">
        <v>1000</v>
      </c>
      <c r="V19" s="455"/>
    </row>
    <row r="20" spans="1:22">
      <c r="A20" s="48" t="s">
        <v>120</v>
      </c>
      <c r="B20" s="8" t="s">
        <v>115</v>
      </c>
      <c r="C20" s="24"/>
      <c r="D20" s="24"/>
      <c r="E20" s="24"/>
      <c r="F20" s="24"/>
      <c r="G20" s="24"/>
      <c r="H20" s="24"/>
      <c r="I20" s="24"/>
      <c r="J20" s="24"/>
      <c r="K20" s="24"/>
      <c r="L20" s="24"/>
      <c r="M20" s="24"/>
      <c r="N20" s="139"/>
      <c r="O20" s="24"/>
      <c r="P20" s="300"/>
      <c r="Q20" s="181"/>
      <c r="R20" s="455"/>
      <c r="S20" s="455">
        <v>400</v>
      </c>
      <c r="T20" s="455"/>
      <c r="U20" s="455">
        <v>1500</v>
      </c>
      <c r="V20" s="455"/>
    </row>
    <row r="21" spans="1:22">
      <c r="A21" s="48" t="s">
        <v>121</v>
      </c>
      <c r="B21" s="8" t="s">
        <v>83</v>
      </c>
      <c r="C21" s="24">
        <v>2000</v>
      </c>
      <c r="D21" s="24">
        <v>141.27000000000001</v>
      </c>
      <c r="E21" s="24">
        <v>1000</v>
      </c>
      <c r="F21" s="24">
        <v>507.24</v>
      </c>
      <c r="G21" s="24">
        <v>1000</v>
      </c>
      <c r="H21" s="24">
        <v>1699.42</v>
      </c>
      <c r="I21" s="24">
        <v>1000</v>
      </c>
      <c r="J21" s="24">
        <v>673.02</v>
      </c>
      <c r="K21" s="24">
        <v>1000</v>
      </c>
      <c r="L21" s="24">
        <v>625.89</v>
      </c>
      <c r="M21" s="24">
        <v>1000</v>
      </c>
      <c r="N21" s="139">
        <v>697.59</v>
      </c>
      <c r="O21" s="24">
        <v>1000</v>
      </c>
      <c r="P21" s="300">
        <v>441.8</v>
      </c>
      <c r="Q21" s="181"/>
      <c r="R21" s="455">
        <v>30</v>
      </c>
      <c r="S21" s="455"/>
      <c r="T21" s="455">
        <v>25.44</v>
      </c>
      <c r="U21" s="455">
        <v>1500</v>
      </c>
      <c r="V21" s="455"/>
    </row>
    <row r="22" spans="1:22">
      <c r="A22" s="48" t="s">
        <v>121</v>
      </c>
      <c r="B22" s="8" t="s">
        <v>87</v>
      </c>
      <c r="C22" s="24">
        <v>214.32</v>
      </c>
      <c r="D22" s="24">
        <v>214.32</v>
      </c>
      <c r="E22" s="24">
        <v>0</v>
      </c>
      <c r="F22" s="24">
        <v>824.61</v>
      </c>
      <c r="G22" s="24">
        <f>59.95*12</f>
        <v>719.40000000000009</v>
      </c>
      <c r="H22" s="24">
        <v>865.6</v>
      </c>
      <c r="I22" s="24">
        <v>1304.6400000000001</v>
      </c>
      <c r="J22" s="24">
        <v>1304.6400000000001</v>
      </c>
      <c r="K22" s="24">
        <v>0</v>
      </c>
      <c r="L22" s="24">
        <v>694.44</v>
      </c>
      <c r="M22" s="24">
        <v>0</v>
      </c>
      <c r="N22" s="139">
        <v>492.72</v>
      </c>
      <c r="O22" s="24">
        <v>451.66</v>
      </c>
      <c r="P22" s="300">
        <v>451.66</v>
      </c>
      <c r="Q22" s="181">
        <v>451</v>
      </c>
      <c r="R22" s="455"/>
      <c r="S22" s="455"/>
      <c r="T22" s="455"/>
      <c r="U22" s="455"/>
      <c r="V22" s="455"/>
    </row>
    <row r="23" spans="1:22">
      <c r="A23" s="48" t="s">
        <v>121</v>
      </c>
      <c r="B23" s="8" t="s">
        <v>89</v>
      </c>
      <c r="C23" s="24">
        <v>4000</v>
      </c>
      <c r="D23" s="24">
        <v>706.01</v>
      </c>
      <c r="E23" s="24">
        <v>750</v>
      </c>
      <c r="F23" s="24">
        <v>153.22</v>
      </c>
      <c r="G23" s="24">
        <v>2500</v>
      </c>
      <c r="H23" s="24">
        <v>484.05</v>
      </c>
      <c r="I23" s="24">
        <v>1000</v>
      </c>
      <c r="J23" s="24">
        <v>298</v>
      </c>
      <c r="K23" s="24">
        <v>150</v>
      </c>
      <c r="L23" s="24">
        <v>0</v>
      </c>
      <c r="M23" s="24">
        <v>500</v>
      </c>
      <c r="N23" s="139">
        <v>450.41</v>
      </c>
      <c r="O23" s="24">
        <v>500</v>
      </c>
      <c r="P23" s="300"/>
      <c r="Q23" s="181">
        <v>500</v>
      </c>
      <c r="R23" s="455">
        <v>216.26</v>
      </c>
      <c r="S23" s="455">
        <v>300</v>
      </c>
      <c r="T23" s="24">
        <v>4715.78</v>
      </c>
      <c r="U23" s="8"/>
      <c r="V23" s="455"/>
    </row>
    <row r="24" spans="1:22">
      <c r="A24" s="48"/>
      <c r="B24" s="26" t="s">
        <v>122</v>
      </c>
      <c r="C24" s="24"/>
      <c r="D24" s="24"/>
      <c r="E24" s="24"/>
      <c r="F24" s="24"/>
      <c r="G24" s="24"/>
      <c r="H24" s="24"/>
      <c r="I24" s="24"/>
      <c r="J24" s="24"/>
      <c r="K24" s="24"/>
      <c r="L24" s="24"/>
      <c r="M24" s="24"/>
      <c r="N24" s="139"/>
      <c r="O24" s="24"/>
      <c r="P24" s="300"/>
      <c r="Q24" s="181"/>
      <c r="R24" s="455"/>
      <c r="S24" s="455"/>
      <c r="T24" s="455"/>
      <c r="U24" s="455">
        <v>1000</v>
      </c>
      <c r="V24" s="455"/>
    </row>
    <row r="25" spans="1:22">
      <c r="A25" s="48"/>
      <c r="B25" s="26" t="s">
        <v>123</v>
      </c>
      <c r="C25" s="24"/>
      <c r="D25" s="24"/>
      <c r="E25" s="24"/>
      <c r="F25" s="24"/>
      <c r="G25" s="24"/>
      <c r="H25" s="24"/>
      <c r="I25" s="24"/>
      <c r="J25" s="24"/>
      <c r="K25" s="24"/>
      <c r="L25" s="24"/>
      <c r="M25" s="24"/>
      <c r="N25" s="139"/>
      <c r="O25" s="24"/>
      <c r="P25" s="300"/>
      <c r="Q25" s="181"/>
      <c r="R25" s="458"/>
      <c r="S25" s="458"/>
      <c r="T25" s="458"/>
      <c r="U25" s="457">
        <v>2740</v>
      </c>
      <c r="V25" s="458"/>
    </row>
    <row r="26" spans="1:22">
      <c r="A26" s="48" t="s">
        <v>121</v>
      </c>
      <c r="B26" s="8" t="s">
        <v>124</v>
      </c>
      <c r="C26" s="24">
        <v>500</v>
      </c>
      <c r="D26" s="24">
        <v>840.99</v>
      </c>
      <c r="E26" s="24">
        <v>600</v>
      </c>
      <c r="F26" s="24">
        <v>455.09</v>
      </c>
      <c r="G26" s="24">
        <v>750</v>
      </c>
      <c r="H26" s="24">
        <v>0</v>
      </c>
      <c r="I26" s="24">
        <v>500</v>
      </c>
      <c r="J26" s="24">
        <v>314.23</v>
      </c>
      <c r="K26" s="24">
        <v>500</v>
      </c>
      <c r="L26" s="24">
        <v>353.86</v>
      </c>
      <c r="M26" s="24">
        <v>500</v>
      </c>
      <c r="N26" s="139">
        <v>0</v>
      </c>
      <c r="O26" s="24">
        <v>250</v>
      </c>
      <c r="P26" s="300"/>
      <c r="Q26" s="181"/>
      <c r="R26" s="458"/>
      <c r="S26" s="458"/>
      <c r="T26" s="458"/>
      <c r="U26" s="456"/>
      <c r="V26" s="458"/>
    </row>
    <row r="27" spans="1:22">
      <c r="A27" s="8"/>
      <c r="B27" s="8" t="s">
        <v>125</v>
      </c>
      <c r="C27" s="24">
        <v>2000</v>
      </c>
      <c r="D27" s="24">
        <v>1000</v>
      </c>
      <c r="E27" s="24">
        <v>1500</v>
      </c>
      <c r="F27" s="24">
        <v>2871.4</v>
      </c>
      <c r="G27" s="24">
        <v>6000</v>
      </c>
      <c r="H27" s="24">
        <v>11463.2</v>
      </c>
      <c r="I27" s="24">
        <v>6000</v>
      </c>
      <c r="J27" s="24">
        <v>0</v>
      </c>
      <c r="K27" s="24">
        <v>6000</v>
      </c>
      <c r="L27" s="24">
        <v>5673.59</v>
      </c>
      <c r="M27" s="24">
        <v>4500</v>
      </c>
      <c r="N27" s="139">
        <v>8242.9</v>
      </c>
      <c r="O27" s="24">
        <v>1000</v>
      </c>
      <c r="P27" s="300">
        <v>164.93</v>
      </c>
      <c r="Q27" s="181">
        <v>800</v>
      </c>
      <c r="R27" s="455">
        <v>485.89</v>
      </c>
      <c r="S27" s="455">
        <v>3000</v>
      </c>
      <c r="T27" s="455">
        <v>2109.86</v>
      </c>
      <c r="U27" s="455"/>
      <c r="V27" s="455"/>
    </row>
    <row r="28" spans="1:22">
      <c r="A28" s="8"/>
      <c r="B28" s="8" t="s">
        <v>114</v>
      </c>
      <c r="C28" s="24"/>
      <c r="D28" s="24"/>
      <c r="E28" s="24"/>
      <c r="F28" s="24"/>
      <c r="G28" s="24"/>
      <c r="H28" s="24"/>
      <c r="I28" s="24"/>
      <c r="J28" s="24"/>
      <c r="K28" s="24"/>
      <c r="L28" s="24"/>
      <c r="M28" s="24"/>
      <c r="N28" s="139"/>
      <c r="O28" s="24"/>
      <c r="P28" s="300"/>
      <c r="Q28" s="181"/>
      <c r="R28" s="455"/>
      <c r="S28" s="455">
        <v>2000</v>
      </c>
      <c r="T28" s="455"/>
      <c r="U28" s="455">
        <v>1500</v>
      </c>
      <c r="V28" s="455"/>
    </row>
    <row r="29" spans="1:22">
      <c r="A29" s="8"/>
      <c r="B29" s="8" t="s">
        <v>115</v>
      </c>
      <c r="C29" s="24"/>
      <c r="D29" s="24"/>
      <c r="E29" s="24"/>
      <c r="F29" s="24"/>
      <c r="G29" s="24"/>
      <c r="H29" s="24"/>
      <c r="I29" s="24"/>
      <c r="J29" s="24"/>
      <c r="K29" s="24"/>
      <c r="L29" s="24"/>
      <c r="M29" s="24"/>
      <c r="N29" s="139"/>
      <c r="O29" s="24"/>
      <c r="P29" s="300"/>
      <c r="Q29" s="181"/>
      <c r="R29" s="455"/>
      <c r="S29" s="455">
        <v>1000</v>
      </c>
      <c r="T29" s="455"/>
      <c r="U29" s="455">
        <v>1000</v>
      </c>
      <c r="V29" s="455"/>
    </row>
    <row r="30" spans="1:22" s="8" customFormat="1">
      <c r="B30" s="8" t="s">
        <v>126</v>
      </c>
      <c r="C30" s="24">
        <v>0</v>
      </c>
      <c r="D30" s="24">
        <v>0</v>
      </c>
      <c r="E30" s="24">
        <v>0</v>
      </c>
      <c r="F30" s="24">
        <v>0</v>
      </c>
      <c r="G30" s="24">
        <v>0</v>
      </c>
      <c r="H30" s="24">
        <v>0</v>
      </c>
      <c r="I30" s="24">
        <v>1000</v>
      </c>
      <c r="J30" s="24">
        <v>0</v>
      </c>
      <c r="K30" s="24">
        <v>250</v>
      </c>
      <c r="L30" s="24">
        <v>0</v>
      </c>
      <c r="M30" s="24">
        <v>250</v>
      </c>
      <c r="N30" s="139">
        <v>0</v>
      </c>
      <c r="O30" s="24">
        <v>0</v>
      </c>
      <c r="P30" s="300"/>
      <c r="Q30" s="181"/>
      <c r="R30" s="455"/>
      <c r="S30" s="455"/>
      <c r="T30" s="455"/>
      <c r="U30" s="455"/>
      <c r="V30" s="455"/>
    </row>
    <row r="31" spans="1:22">
      <c r="A31" s="8"/>
      <c r="B31" s="8" t="s">
        <v>127</v>
      </c>
      <c r="C31" s="24">
        <v>0</v>
      </c>
      <c r="D31" s="24">
        <v>0</v>
      </c>
      <c r="E31" s="24">
        <v>0</v>
      </c>
      <c r="F31" s="24">
        <v>0</v>
      </c>
      <c r="G31" s="24">
        <v>0</v>
      </c>
      <c r="H31" s="24">
        <v>0</v>
      </c>
      <c r="I31" s="24">
        <v>500</v>
      </c>
      <c r="J31" s="24">
        <v>0</v>
      </c>
      <c r="K31" s="24">
        <v>500</v>
      </c>
      <c r="L31" s="24">
        <v>0</v>
      </c>
      <c r="M31" s="24">
        <v>1500</v>
      </c>
      <c r="N31" s="139">
        <v>0</v>
      </c>
      <c r="O31" s="24">
        <v>0</v>
      </c>
      <c r="P31" s="300"/>
      <c r="Q31" s="181"/>
      <c r="R31" s="455"/>
      <c r="S31" s="455"/>
      <c r="T31" s="455"/>
      <c r="U31" s="455"/>
      <c r="V31" s="455"/>
    </row>
    <row r="32" spans="1:22">
      <c r="A32" s="8"/>
      <c r="B32" s="8" t="s">
        <v>128</v>
      </c>
      <c r="C32" s="24">
        <v>0</v>
      </c>
      <c r="D32" s="24">
        <v>0</v>
      </c>
      <c r="E32" s="24">
        <v>0</v>
      </c>
      <c r="F32" s="24">
        <v>0</v>
      </c>
      <c r="G32" s="24">
        <v>0</v>
      </c>
      <c r="H32" s="24">
        <v>0</v>
      </c>
      <c r="I32" s="24">
        <v>0</v>
      </c>
      <c r="J32" s="24">
        <v>0</v>
      </c>
      <c r="K32" s="24">
        <v>0</v>
      </c>
      <c r="L32" s="24">
        <v>0</v>
      </c>
      <c r="M32" s="24">
        <v>0</v>
      </c>
      <c r="N32" s="139">
        <v>0</v>
      </c>
      <c r="O32" s="24">
        <v>1000</v>
      </c>
      <c r="P32" s="459">
        <v>1992.68</v>
      </c>
      <c r="Q32" s="181">
        <v>1200</v>
      </c>
      <c r="R32" s="542">
        <v>2806.08</v>
      </c>
      <c r="S32" s="542">
        <v>2000</v>
      </c>
      <c r="T32" s="542">
        <v>0</v>
      </c>
      <c r="U32" s="542"/>
      <c r="V32" s="542"/>
    </row>
    <row r="33" spans="1:22" ht="13.5" thickBot="1">
      <c r="A33" s="8"/>
      <c r="B33" s="117" t="s">
        <v>129</v>
      </c>
      <c r="C33" s="24"/>
      <c r="D33" s="24"/>
      <c r="E33" s="24"/>
      <c r="F33" s="24"/>
      <c r="G33" s="24"/>
      <c r="H33" s="24"/>
      <c r="I33" s="24"/>
      <c r="J33" s="24"/>
      <c r="K33" s="24"/>
      <c r="L33" s="24"/>
      <c r="M33" s="24"/>
      <c r="N33" s="139"/>
      <c r="O33" s="24"/>
      <c r="P33" s="300"/>
      <c r="Q33" s="542"/>
      <c r="R33" s="542"/>
      <c r="S33" s="542"/>
      <c r="T33" s="542"/>
      <c r="U33" s="542">
        <v>2000</v>
      </c>
      <c r="V33" s="542"/>
    </row>
    <row r="34" spans="1:22" ht="13.5" thickBot="1">
      <c r="A34" s="12"/>
      <c r="B34" s="348" t="s">
        <v>13</v>
      </c>
      <c r="C34" s="349">
        <f>SUBTOTAL(109,StudentGovernmentExpenses[Budget 10/11])</f>
        <v>10639.32</v>
      </c>
      <c r="D34" s="349">
        <f>SUBTOTAL(109,StudentGovernmentExpenses[Actual 10/11])</f>
        <v>3797.2799999999997</v>
      </c>
      <c r="E34" s="349">
        <f>SUBTOTAL(109,StudentGovernmentExpenses[Budget 11/12])</f>
        <v>5950</v>
      </c>
      <c r="F34" s="349">
        <f>SUBTOTAL(109,StudentGovernmentExpenses[Actual 11/12])</f>
        <v>6780.3099999999995</v>
      </c>
      <c r="G34" s="349">
        <f>SUBTOTAL(109,StudentGovernmentExpenses[Budget 12/13])</f>
        <v>16069.4</v>
      </c>
      <c r="H34" s="349">
        <f>SUBTOTAL(109,StudentGovernmentExpenses[Actual 12/13])</f>
        <v>15941.11</v>
      </c>
      <c r="I34" s="349">
        <f>SUBTOTAL(109,StudentGovernmentExpenses[Budget 13/14])</f>
        <v>12304.64</v>
      </c>
      <c r="J34" s="349">
        <f>SUBTOTAL(109,StudentGovernmentExpenses[Actual 13/14])</f>
        <v>3958.52</v>
      </c>
      <c r="K34" s="349">
        <f>SUBTOTAL(109,StudentGovernmentExpenses[Budget 14/15])</f>
        <v>9400</v>
      </c>
      <c r="L34" s="349">
        <f>SUBTOTAL(109,StudentGovernmentExpenses[Actual 14/15])</f>
        <v>8046.08</v>
      </c>
      <c r="M34" s="349">
        <f>SUBTOTAL(109,StudentGovernmentExpenses[Budget 15/16])</f>
        <v>10000</v>
      </c>
      <c r="N34" s="350">
        <f>SUBTOTAL(109,StudentGovernmentExpenses[Actual 15/16])</f>
        <v>10782.07</v>
      </c>
      <c r="O34" s="349">
        <f>SUBTOTAL(109,StudentGovernmentExpenses[Budget 16/17])</f>
        <v>5951.66</v>
      </c>
      <c r="P34" s="349">
        <f>SUM(StudentGovernmentExpenses[Actual 16/17])</f>
        <v>3656.6900000000005</v>
      </c>
      <c r="Q34" s="349">
        <f>SUBTOTAL(109,StudentGovernmentExpenses[Budget 17/18])</f>
        <v>4701</v>
      </c>
      <c r="R34" s="182">
        <f>SUM(R10:R32)</f>
        <v>6100.1</v>
      </c>
      <c r="S34" s="206">
        <f>SUM(S10:S32)</f>
        <v>11100</v>
      </c>
      <c r="T34" s="206">
        <f>SUM(T10:T32)</f>
        <v>9449.4700000000012</v>
      </c>
      <c r="U34" s="206">
        <f>SUM(U10:U32)</f>
        <v>16990</v>
      </c>
      <c r="V34" s="206"/>
    </row>
    <row r="35" spans="1:22" ht="19.5" thickBot="1">
      <c r="A35" s="12"/>
      <c r="B35" s="346" t="s">
        <v>102</v>
      </c>
      <c r="C35" s="347">
        <f>StudentGovernmentRevenues[[#Totals],[Budget 10/11]]-StudentGovernmentExpenses[[#Totals],[Budget 10/11]]</f>
        <v>-10639.32</v>
      </c>
      <c r="D35" s="347">
        <f>StudentGovernmentRevenues[[#Totals],[Actual 10/11]]-StudentGovernmentExpenses[[#Totals],[Actual 10/11]]</f>
        <v>-3797.2799999999997</v>
      </c>
      <c r="E35" s="347">
        <f>StudentGovernmentRevenues[[#Totals],[Budget 11/12]]-StudentGovernmentExpenses[[#Totals],[Budget 11/12]]</f>
        <v>-5950</v>
      </c>
      <c r="F35" s="347">
        <f>StudentGovernmentRevenues[[#Totals],[Actual 11/12]]-StudentGovernmentExpenses[[#Totals],[Actual 11/12]]</f>
        <v>-6780.3099999999995</v>
      </c>
      <c r="G35" s="347">
        <f>StudentGovernmentRevenues[[#Totals],[Budget 12/13]]-StudentGovernmentExpenses[[#Totals],[Budget 12/13]]</f>
        <v>-16069.4</v>
      </c>
      <c r="H35" s="347">
        <f>StudentGovernmentRevenues[[#Totals],[Actual 12/13]]-StudentGovernmentExpenses[[#Totals],[Actual 12/13]]</f>
        <v>-15941.11</v>
      </c>
      <c r="I35" s="347">
        <f>StudentGovernmentRevenues[[#Totals],[Budget 13/14]]-StudentGovernmentExpenses[[#Totals],[Budget 13/14]]</f>
        <v>-12304.64</v>
      </c>
      <c r="J35" s="347">
        <f>StudentGovernmentRevenues[[#Totals],[Actual 13/14]]-StudentGovernmentExpenses[[#Totals],[Actual 13/14]]</f>
        <v>-3958.52</v>
      </c>
      <c r="K35" s="347">
        <f>StudentGovernmentRevenues[[#Totals],[Budget 14/15]]-StudentGovernmentExpenses[[#Totals],[Budget 14/15]]</f>
        <v>-9400</v>
      </c>
      <c r="L35" s="347">
        <f>StudentGovernmentRevenues[[#Totals],[Actual 14/15]]-StudentGovernmentExpenses[[#Totals],[Actual 14/15]]</f>
        <v>-8046.08</v>
      </c>
      <c r="M35" s="347">
        <f>StudentGovernmentRevenues[[#Totals],[Budget 15/16]]-StudentGovernmentExpenses[[#Totals],[Budget 15/16]]</f>
        <v>-10000</v>
      </c>
      <c r="N35" s="347">
        <f>StudentGovernmentRevenues[[#Totals],[Actual 15/16]]-StudentGovernmentExpenses[[#Totals],[Actual 15/16]]</f>
        <v>-10782.07</v>
      </c>
      <c r="O35" s="195">
        <f>StudentGovernmentRevenues[[#Totals],[Budget 16/17]]-StudentGovernmentExpenses[[#Totals],[Budget 16/17]]</f>
        <v>-5951.66</v>
      </c>
      <c r="P35" s="195">
        <f>StudentGovernmentRevenues[[#Totals],[Actual 16/17]]-StudentGovernmentExpenses[[#Totals],[Actual 16/17]]</f>
        <v>-3656.6900000000005</v>
      </c>
      <c r="Q35" s="430">
        <f>StudentGovernmentRevenues[[#Totals],[Budget 17/18]]-Q34</f>
        <v>-4701</v>
      </c>
      <c r="R35" s="430">
        <f>StudentGovernmentRevenues[[#Totals],[Actual 17/18]]-R34</f>
        <v>-6100.1</v>
      </c>
      <c r="S35" s="430">
        <f>StudentGovernmentRevenues[[#Totals],[Budget 18/19]]-S34</f>
        <v>-11100</v>
      </c>
      <c r="T35" s="430">
        <f>StudentGovernmentRevenues[[#Totals],[Actual 18/19]]-T34</f>
        <v>-9449.4700000000012</v>
      </c>
      <c r="U35" s="430">
        <f>StudentGovernmentRevenues[[#Totals],[Budget 19/20]]-U34</f>
        <v>-14250</v>
      </c>
      <c r="V35" s="195"/>
    </row>
    <row r="36" spans="1:22">
      <c r="A36" s="12"/>
      <c r="B36" s="8"/>
      <c r="C36" s="8"/>
      <c r="D36" s="8"/>
      <c r="E36" s="8"/>
      <c r="F36" s="8"/>
      <c r="G36" s="8"/>
      <c r="H36" s="8"/>
      <c r="I36" s="8"/>
      <c r="J36" s="8"/>
      <c r="K36" s="8"/>
      <c r="L36" s="8"/>
      <c r="M36" s="8"/>
    </row>
    <row r="37" spans="1:22">
      <c r="A37" s="12"/>
      <c r="B37" s="8"/>
      <c r="C37" s="8"/>
      <c r="D37" s="8"/>
      <c r="E37" s="8"/>
      <c r="F37" s="8"/>
      <c r="G37" s="8"/>
      <c r="H37" s="8"/>
      <c r="I37" s="8"/>
      <c r="J37" s="8"/>
      <c r="K37" s="8"/>
      <c r="L37" s="8"/>
      <c r="M37" s="8"/>
    </row>
    <row r="38" spans="1:22">
      <c r="B38" s="8"/>
      <c r="C38" s="8"/>
      <c r="D38" s="8"/>
      <c r="E38" s="8"/>
      <c r="F38" s="8"/>
      <c r="G38" s="8"/>
      <c r="H38" s="8"/>
      <c r="I38" s="8"/>
      <c r="J38" s="8"/>
      <c r="K38" s="8"/>
      <c r="L38" s="8"/>
      <c r="M38" s="8"/>
    </row>
    <row r="39" spans="1:22">
      <c r="B39" s="8"/>
      <c r="C39" s="8"/>
      <c r="D39" s="8"/>
      <c r="E39" s="8"/>
      <c r="F39" s="8"/>
      <c r="G39" s="8"/>
      <c r="H39" s="8"/>
      <c r="I39" s="8"/>
      <c r="J39" s="8"/>
      <c r="K39" s="8"/>
      <c r="L39" s="8"/>
      <c r="M39" s="8"/>
    </row>
    <row r="40" spans="1:22">
      <c r="B40" s="12"/>
      <c r="C40" s="12"/>
      <c r="D40" s="12"/>
      <c r="E40" s="12"/>
      <c r="F40" s="12"/>
      <c r="G40" s="12"/>
      <c r="H40" s="12"/>
      <c r="I40" s="12"/>
      <c r="J40" s="12"/>
      <c r="K40" s="12"/>
      <c r="L40" s="12"/>
      <c r="M40" s="12"/>
    </row>
    <row r="41" spans="1:22">
      <c r="B41" s="12"/>
      <c r="C41" s="12"/>
      <c r="D41" s="12"/>
      <c r="E41" s="12"/>
      <c r="F41" s="12"/>
      <c r="G41" s="12"/>
      <c r="H41" s="12"/>
      <c r="I41" s="12"/>
      <c r="J41" s="12"/>
      <c r="K41" s="12"/>
      <c r="L41" s="12"/>
      <c r="M41" s="12"/>
    </row>
    <row r="42" spans="1:22">
      <c r="B42" s="12"/>
      <c r="C42" s="12"/>
      <c r="D42" s="12"/>
      <c r="E42" s="12"/>
      <c r="F42" s="12"/>
      <c r="G42" s="12"/>
      <c r="H42" s="12"/>
      <c r="I42" s="12"/>
    </row>
    <row r="43" spans="1:22">
      <c r="B43" s="12"/>
      <c r="C43" s="12"/>
      <c r="D43" s="12"/>
      <c r="E43" s="12"/>
      <c r="F43" s="12"/>
      <c r="G43" s="12"/>
      <c r="H43" s="12"/>
      <c r="I43" s="12"/>
    </row>
  </sheetData>
  <mergeCells count="2">
    <mergeCell ref="A1:B1"/>
    <mergeCell ref="A2:B2"/>
  </mergeCells>
  <pageMargins left="0" right="0" top="0.98425196850393704" bottom="0.98425196850393704" header="0.51181102362204722" footer="0.51181102362204722"/>
  <pageSetup paperSize="5" orientation="landscape" r:id="rId1"/>
  <headerFooter alignWithMargins="0"/>
  <legacy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pageSetUpPr fitToPage="1"/>
  </sheetPr>
  <dimension ref="A1:V22"/>
  <sheetViews>
    <sheetView showGridLines="0" zoomScale="90" zoomScaleNormal="90" workbookViewId="0">
      <selection activeCell="R22" sqref="R22"/>
    </sheetView>
  </sheetViews>
  <sheetFormatPr defaultColWidth="11.42578125" defaultRowHeight="12.75"/>
  <cols>
    <col min="1" max="1" width="13.85546875" style="12" customWidth="1"/>
    <col min="2" max="2" width="27.140625" style="12" customWidth="1"/>
    <col min="3" max="13" width="19" style="12" hidden="1" customWidth="1"/>
    <col min="14" max="14" width="14.85546875" style="144" hidden="1" customWidth="1"/>
    <col min="15" max="15" width="16.140625" style="12" hidden="1" customWidth="1"/>
    <col min="16" max="16" width="16.28515625" style="12" hidden="1" customWidth="1"/>
    <col min="17" max="17" width="15.28515625" style="12" customWidth="1"/>
    <col min="18" max="18" width="16.5703125" style="12" customWidth="1"/>
    <col min="19" max="19" width="15.140625" style="12" customWidth="1"/>
    <col min="20" max="20" width="14.42578125" style="12" customWidth="1"/>
    <col min="21" max="21" width="14.5703125" style="12" bestFit="1" customWidth="1"/>
    <col min="22" max="16384" width="11.42578125" style="12"/>
  </cols>
  <sheetData>
    <row r="1" spans="1:22" ht="18">
      <c r="A1" s="225" t="s">
        <v>130</v>
      </c>
      <c r="B1" s="225"/>
      <c r="C1" s="42"/>
      <c r="D1" s="42"/>
      <c r="E1" s="42"/>
      <c r="F1" s="42"/>
      <c r="G1" s="42"/>
      <c r="H1" s="42"/>
      <c r="I1" s="42"/>
      <c r="J1" s="42"/>
      <c r="K1" s="42"/>
      <c r="L1" s="42"/>
      <c r="M1" s="42"/>
    </row>
    <row r="2" spans="1:22">
      <c r="A2" s="28" t="s">
        <v>46</v>
      </c>
      <c r="B2" s="8"/>
      <c r="C2" s="8"/>
      <c r="D2" s="8"/>
      <c r="E2" s="8"/>
      <c r="F2" s="8"/>
      <c r="G2" s="8"/>
      <c r="H2" s="8"/>
      <c r="I2" s="8"/>
      <c r="J2" s="8"/>
      <c r="K2" s="8"/>
      <c r="L2" s="8"/>
      <c r="M2" s="8"/>
    </row>
    <row r="3" spans="1:22">
      <c r="A3" s="28"/>
      <c r="B3" s="8"/>
      <c r="C3" s="8"/>
      <c r="D3" s="8"/>
      <c r="E3" s="8"/>
      <c r="F3" s="8"/>
      <c r="G3" s="8"/>
      <c r="H3" s="8"/>
      <c r="I3" s="8"/>
      <c r="J3" s="8"/>
      <c r="K3" s="8"/>
      <c r="L3" s="8"/>
      <c r="M3" s="8"/>
    </row>
    <row r="4" spans="1:22" ht="15.75">
      <c r="A4" s="37"/>
      <c r="B4" s="460" t="s">
        <v>47</v>
      </c>
      <c r="C4" s="2" t="s">
        <v>48</v>
      </c>
      <c r="D4" s="2" t="s">
        <v>49</v>
      </c>
      <c r="E4" s="2" t="s">
        <v>50</v>
      </c>
      <c r="F4" s="2" t="s">
        <v>51</v>
      </c>
      <c r="G4" s="2" t="s">
        <v>52</v>
      </c>
      <c r="H4" s="2" t="s">
        <v>53</v>
      </c>
      <c r="I4" s="2" t="s">
        <v>54</v>
      </c>
      <c r="J4" s="2" t="s">
        <v>55</v>
      </c>
      <c r="K4" s="2" t="s">
        <v>56</v>
      </c>
      <c r="L4" s="2" t="s">
        <v>104</v>
      </c>
      <c r="M4" s="2" t="s">
        <v>29</v>
      </c>
      <c r="N4" s="461" t="s">
        <v>30</v>
      </c>
      <c r="O4" s="2" t="s">
        <v>31</v>
      </c>
      <c r="P4" s="2" t="s">
        <v>32</v>
      </c>
      <c r="Q4" s="2" t="s">
        <v>33</v>
      </c>
      <c r="R4" s="2" t="s">
        <v>34</v>
      </c>
      <c r="S4" s="2" t="s">
        <v>6</v>
      </c>
      <c r="T4" s="2" t="s">
        <v>7</v>
      </c>
      <c r="U4" s="2" t="s">
        <v>8</v>
      </c>
      <c r="V4" s="2" t="s">
        <v>35</v>
      </c>
    </row>
    <row r="5" spans="1:22">
      <c r="A5" s="10"/>
      <c r="B5" s="462"/>
      <c r="C5" s="38">
        <v>0</v>
      </c>
      <c r="D5" s="38">
        <v>0</v>
      </c>
      <c r="E5" s="38">
        <v>0</v>
      </c>
      <c r="F5" s="38">
        <v>0</v>
      </c>
      <c r="G5" s="38">
        <v>0</v>
      </c>
      <c r="H5" s="38">
        <v>0</v>
      </c>
      <c r="I5" s="38">
        <v>0</v>
      </c>
      <c r="J5" s="38">
        <v>0</v>
      </c>
      <c r="K5" s="38">
        <v>0</v>
      </c>
      <c r="L5" s="38">
        <v>0</v>
      </c>
      <c r="M5" s="38">
        <v>0</v>
      </c>
      <c r="N5" s="145">
        <v>0</v>
      </c>
      <c r="O5" s="41">
        <v>0</v>
      </c>
      <c r="P5" s="41">
        <v>0</v>
      </c>
      <c r="Q5" s="41">
        <v>0</v>
      </c>
      <c r="R5" s="41"/>
      <c r="S5" s="41"/>
      <c r="T5" s="41"/>
      <c r="U5" s="41"/>
      <c r="V5" s="218"/>
    </row>
    <row r="6" spans="1:22">
      <c r="B6" s="462" t="s">
        <v>13</v>
      </c>
      <c r="C6" s="221">
        <f>SUBTOTAL(109,RPORevenues[Budget 10/11])</f>
        <v>0</v>
      </c>
      <c r="D6" s="221">
        <f>SUBTOTAL(109,RPORevenues[Actual 10/11])</f>
        <v>0</v>
      </c>
      <c r="E6" s="221">
        <f>SUBTOTAL(109,RPORevenues[Budget 11/12])</f>
        <v>0</v>
      </c>
      <c r="F6" s="221">
        <f>SUBTOTAL(109,RPORevenues[Actual 11/12])</f>
        <v>0</v>
      </c>
      <c r="G6" s="221">
        <f>SUBTOTAL(109,RPORevenues[Budget 12/13])</f>
        <v>0</v>
      </c>
      <c r="H6" s="221">
        <f>SUBTOTAL(109,RPORevenues[Actual 12/13])</f>
        <v>0</v>
      </c>
      <c r="I6" s="221">
        <f>SUBTOTAL(109,RPORevenues[Budget 13/14])</f>
        <v>0</v>
      </c>
      <c r="J6" s="221">
        <f>SUBTOTAL(109,RPORevenues[Actual 13/14])</f>
        <v>0</v>
      </c>
      <c r="K6" s="221">
        <f>SUBTOTAL(109,RPORevenues[Budget 14/15])</f>
        <v>0</v>
      </c>
      <c r="L6" s="221">
        <f>SUBTOTAL(109,RPORevenues[Actual 14/15])</f>
        <v>0</v>
      </c>
      <c r="M6" s="221">
        <f>SUBTOTAL(109,RPORevenues[Budget 15/16])</f>
        <v>0</v>
      </c>
      <c r="N6" s="463">
        <f>SUBTOTAL(109,RPORevenues[Actual 15/16])</f>
        <v>0</v>
      </c>
      <c r="O6" s="221">
        <f>SUBTOTAL(109,RPORevenues[Budget 16/17])</f>
        <v>0</v>
      </c>
      <c r="P6" s="221">
        <f>SUBTOTAL(109,RPORevenues[Actual 16/17])</f>
        <v>0</v>
      </c>
      <c r="Q6" s="221">
        <f>SUBTOTAL(109,RPORevenues[Budget 17/18])</f>
        <v>0</v>
      </c>
      <c r="R6" s="192"/>
      <c r="S6" s="192"/>
      <c r="T6" s="192"/>
      <c r="U6" s="192"/>
      <c r="V6" s="192"/>
    </row>
    <row r="7" spans="1:22">
      <c r="B7" s="8"/>
      <c r="C7" s="39"/>
      <c r="D7" s="39"/>
      <c r="E7" s="39"/>
      <c r="F7" s="39"/>
      <c r="G7" s="39"/>
      <c r="H7" s="39"/>
      <c r="I7" s="39"/>
      <c r="J7" s="39"/>
      <c r="K7" s="39"/>
      <c r="L7" s="39"/>
      <c r="M7" s="39"/>
    </row>
    <row r="8" spans="1:22" ht="15.75">
      <c r="A8" s="49" t="s">
        <v>107</v>
      </c>
      <c r="B8" s="40" t="s">
        <v>61</v>
      </c>
      <c r="C8" s="8" t="s">
        <v>48</v>
      </c>
      <c r="D8" s="8" t="s">
        <v>49</v>
      </c>
      <c r="E8" s="8" t="s">
        <v>50</v>
      </c>
      <c r="F8" s="8" t="s">
        <v>51</v>
      </c>
      <c r="G8" s="8" t="s">
        <v>52</v>
      </c>
      <c r="H8" s="8" t="s">
        <v>53</v>
      </c>
      <c r="I8" s="8" t="s">
        <v>54</v>
      </c>
      <c r="J8" s="8" t="s">
        <v>55</v>
      </c>
      <c r="K8" s="8" t="s">
        <v>56</v>
      </c>
      <c r="L8" s="8" t="s">
        <v>104</v>
      </c>
      <c r="M8" s="8" t="s">
        <v>29</v>
      </c>
      <c r="N8" s="124" t="s">
        <v>30</v>
      </c>
      <c r="O8" s="8" t="s">
        <v>31</v>
      </c>
      <c r="P8" s="8" t="s">
        <v>32</v>
      </c>
      <c r="Q8" s="8" t="s">
        <v>33</v>
      </c>
      <c r="R8" s="8" t="s">
        <v>34</v>
      </c>
      <c r="S8" s="8" t="s">
        <v>6</v>
      </c>
      <c r="T8" s="8" t="s">
        <v>7</v>
      </c>
      <c r="U8" s="8" t="s">
        <v>8</v>
      </c>
      <c r="V8" s="8" t="s">
        <v>35</v>
      </c>
    </row>
    <row r="9" spans="1:22">
      <c r="A9" s="49" t="s">
        <v>131</v>
      </c>
      <c r="B9" s="8" t="s">
        <v>132</v>
      </c>
      <c r="C9" s="24">
        <v>0</v>
      </c>
      <c r="D9" s="24">
        <v>0</v>
      </c>
      <c r="E9" s="24">
        <v>0</v>
      </c>
      <c r="F9" s="24">
        <v>0</v>
      </c>
      <c r="G9" s="24">
        <v>0</v>
      </c>
      <c r="H9" s="24">
        <v>0</v>
      </c>
      <c r="I9" s="24">
        <v>0</v>
      </c>
      <c r="J9" s="24">
        <v>1338.75</v>
      </c>
      <c r="K9" s="24">
        <v>2100</v>
      </c>
      <c r="L9" s="24">
        <v>2488.83</v>
      </c>
      <c r="M9" s="24">
        <v>0</v>
      </c>
      <c r="N9" s="146">
        <v>0</v>
      </c>
      <c r="O9" s="24">
        <v>0</v>
      </c>
      <c r="P9" s="24"/>
      <c r="Q9" s="24">
        <v>0</v>
      </c>
      <c r="R9" s="24">
        <v>99.03</v>
      </c>
      <c r="S9" s="24"/>
      <c r="T9" s="24">
        <v>510.33</v>
      </c>
      <c r="U9" s="24"/>
      <c r="V9" s="24"/>
    </row>
    <row r="10" spans="1:22">
      <c r="A10" s="49"/>
      <c r="B10" s="304" t="s">
        <v>133</v>
      </c>
      <c r="C10" s="302"/>
      <c r="D10" s="302"/>
      <c r="E10" s="302"/>
      <c r="F10" s="302"/>
      <c r="G10" s="302"/>
      <c r="H10" s="302"/>
      <c r="I10" s="302"/>
      <c r="J10" s="302"/>
      <c r="K10" s="302"/>
      <c r="L10" s="302"/>
      <c r="M10" s="302"/>
      <c r="N10" s="303"/>
      <c r="O10" s="302"/>
      <c r="P10" s="302"/>
      <c r="Q10" s="302"/>
      <c r="R10" s="223"/>
      <c r="S10" s="223"/>
      <c r="T10" s="223"/>
      <c r="U10" s="223">
        <v>1000</v>
      </c>
      <c r="V10" s="223"/>
    </row>
    <row r="11" spans="1:22">
      <c r="A11" s="49" t="s">
        <v>134</v>
      </c>
      <c r="B11" s="8" t="s">
        <v>70</v>
      </c>
      <c r="C11" s="24">
        <v>400</v>
      </c>
      <c r="D11" s="24">
        <v>285.58999999999997</v>
      </c>
      <c r="E11" s="24">
        <v>400</v>
      </c>
      <c r="F11" s="24">
        <v>365.9</v>
      </c>
      <c r="G11" s="24">
        <v>400</v>
      </c>
      <c r="H11" s="24">
        <v>364.62</v>
      </c>
      <c r="I11" s="24">
        <f>G11</f>
        <v>400</v>
      </c>
      <c r="J11" s="24">
        <v>274.24</v>
      </c>
      <c r="K11" s="24">
        <v>400</v>
      </c>
      <c r="L11" s="24">
        <v>138.97999999999999</v>
      </c>
      <c r="M11" s="24">
        <v>400</v>
      </c>
      <c r="N11" s="146">
        <v>0</v>
      </c>
      <c r="O11" s="24">
        <v>400</v>
      </c>
      <c r="P11" s="24">
        <v>69.150000000000006</v>
      </c>
      <c r="Q11" s="24">
        <v>400</v>
      </c>
      <c r="R11" s="24"/>
      <c r="S11" s="24">
        <v>350</v>
      </c>
      <c r="T11" s="24">
        <v>39.9</v>
      </c>
      <c r="U11" s="24">
        <v>350</v>
      </c>
      <c r="V11" s="24"/>
    </row>
    <row r="12" spans="1:22">
      <c r="A12" s="49" t="s">
        <v>135</v>
      </c>
      <c r="B12" s="8" t="s">
        <v>74</v>
      </c>
      <c r="C12" s="24">
        <v>5</v>
      </c>
      <c r="D12" s="24">
        <v>0</v>
      </c>
      <c r="E12" s="24">
        <v>10</v>
      </c>
      <c r="F12" s="24">
        <v>0</v>
      </c>
      <c r="G12" s="24">
        <v>5</v>
      </c>
      <c r="H12" s="24">
        <v>0</v>
      </c>
      <c r="I12" s="24">
        <f>G12</f>
        <v>5</v>
      </c>
      <c r="J12" s="24">
        <v>0</v>
      </c>
      <c r="K12" s="24">
        <v>5</v>
      </c>
      <c r="L12" s="24">
        <v>0</v>
      </c>
      <c r="M12" s="24">
        <v>5</v>
      </c>
      <c r="N12" s="146">
        <v>0</v>
      </c>
      <c r="O12" s="24">
        <v>0</v>
      </c>
      <c r="P12" s="24"/>
      <c r="Q12" s="24">
        <v>0</v>
      </c>
      <c r="R12" s="24">
        <v>0</v>
      </c>
      <c r="S12" s="24"/>
      <c r="T12" s="24"/>
      <c r="U12" s="24"/>
      <c r="V12" s="24"/>
    </row>
    <row r="13" spans="1:22">
      <c r="A13" s="49" t="s">
        <v>136</v>
      </c>
      <c r="B13" s="8" t="s">
        <v>77</v>
      </c>
      <c r="C13" s="24">
        <v>150</v>
      </c>
      <c r="D13" s="24">
        <v>102.78</v>
      </c>
      <c r="E13" s="24">
        <v>150</v>
      </c>
      <c r="F13" s="24">
        <v>87.73</v>
      </c>
      <c r="G13" s="24">
        <v>150</v>
      </c>
      <c r="H13" s="24">
        <v>161.69999999999999</v>
      </c>
      <c r="I13" s="24">
        <f>G13</f>
        <v>150</v>
      </c>
      <c r="J13" s="24">
        <v>171.19</v>
      </c>
      <c r="K13" s="24">
        <v>150</v>
      </c>
      <c r="L13" s="24">
        <v>111.73</v>
      </c>
      <c r="M13" s="24">
        <v>150</v>
      </c>
      <c r="N13" s="146">
        <v>111.32</v>
      </c>
      <c r="O13" s="24">
        <v>160</v>
      </c>
      <c r="P13" s="24"/>
      <c r="Q13" s="24">
        <v>160</v>
      </c>
      <c r="R13" s="24">
        <v>30.85</v>
      </c>
      <c r="S13" s="24">
        <v>70</v>
      </c>
      <c r="T13" s="24">
        <v>74.11</v>
      </c>
      <c r="U13" s="24">
        <v>70</v>
      </c>
      <c r="V13" s="24"/>
    </row>
    <row r="14" spans="1:22">
      <c r="A14" s="49" t="s">
        <v>137</v>
      </c>
      <c r="B14" s="8" t="s">
        <v>138</v>
      </c>
      <c r="C14" s="24">
        <v>500</v>
      </c>
      <c r="D14" s="24">
        <v>523.26</v>
      </c>
      <c r="E14" s="24">
        <v>150</v>
      </c>
      <c r="F14" s="24">
        <v>95.52</v>
      </c>
      <c r="G14" s="24">
        <v>300</v>
      </c>
      <c r="H14" s="24">
        <v>0</v>
      </c>
      <c r="I14" s="24">
        <f>G14*0.75</f>
        <v>225</v>
      </c>
      <c r="J14" s="24">
        <v>32.79</v>
      </c>
      <c r="K14" s="24">
        <v>200</v>
      </c>
      <c r="L14" s="24">
        <v>123.08</v>
      </c>
      <c r="M14" s="24">
        <v>300</v>
      </c>
      <c r="N14" s="146">
        <v>26</v>
      </c>
      <c r="O14" s="24">
        <v>200</v>
      </c>
      <c r="P14" s="24">
        <v>7.86</v>
      </c>
      <c r="Q14" s="24">
        <v>200</v>
      </c>
      <c r="R14" s="24">
        <v>31.9</v>
      </c>
      <c r="S14" s="24">
        <v>100</v>
      </c>
      <c r="T14" s="24">
        <v>49.09</v>
      </c>
      <c r="U14" s="24">
        <v>100</v>
      </c>
      <c r="V14" s="24"/>
    </row>
    <row r="15" spans="1:22">
      <c r="A15" s="49" t="s">
        <v>139</v>
      </c>
      <c r="B15" s="8" t="s">
        <v>81</v>
      </c>
      <c r="C15" s="24">
        <v>100</v>
      </c>
      <c r="D15" s="24">
        <v>0</v>
      </c>
      <c r="E15" s="24">
        <v>100</v>
      </c>
      <c r="F15" s="24">
        <v>112.33</v>
      </c>
      <c r="G15" s="24">
        <v>300</v>
      </c>
      <c r="H15" s="24">
        <v>114.85</v>
      </c>
      <c r="I15" s="24">
        <v>150</v>
      </c>
      <c r="J15" s="24">
        <v>126.47</v>
      </c>
      <c r="K15" s="24">
        <v>150</v>
      </c>
      <c r="L15" s="24">
        <v>73.599999999999994</v>
      </c>
      <c r="M15" s="24">
        <v>150</v>
      </c>
      <c r="N15" s="146">
        <v>34.56</v>
      </c>
      <c r="O15" s="24">
        <v>150</v>
      </c>
      <c r="P15" s="24">
        <v>131.58000000000001</v>
      </c>
      <c r="Q15" s="24">
        <v>150</v>
      </c>
      <c r="R15" s="24"/>
      <c r="S15" s="24">
        <v>100</v>
      </c>
      <c r="T15" s="24">
        <v>0</v>
      </c>
      <c r="U15" s="24">
        <v>100</v>
      </c>
      <c r="V15" s="24"/>
    </row>
    <row r="16" spans="1:22">
      <c r="A16" s="49" t="s">
        <v>140</v>
      </c>
      <c r="B16" s="8" t="s">
        <v>83</v>
      </c>
      <c r="C16" s="24">
        <v>500</v>
      </c>
      <c r="D16" s="24">
        <v>118</v>
      </c>
      <c r="E16" s="24">
        <v>1500</v>
      </c>
      <c r="F16" s="24">
        <v>542.52</v>
      </c>
      <c r="G16" s="24">
        <v>1000</v>
      </c>
      <c r="H16" s="24">
        <v>114.01</v>
      </c>
      <c r="I16" s="24">
        <v>200</v>
      </c>
      <c r="J16" s="24">
        <v>0</v>
      </c>
      <c r="K16" s="24">
        <v>250</v>
      </c>
      <c r="L16" s="24">
        <v>0</v>
      </c>
      <c r="M16" s="24">
        <v>250</v>
      </c>
      <c r="N16" s="146">
        <v>0</v>
      </c>
      <c r="O16" s="24">
        <v>500</v>
      </c>
      <c r="P16" s="24">
        <v>249</v>
      </c>
      <c r="Q16" s="24">
        <v>500</v>
      </c>
      <c r="R16" s="24"/>
      <c r="S16" s="24">
        <v>250</v>
      </c>
      <c r="T16" s="24">
        <v>0</v>
      </c>
      <c r="U16" s="24">
        <v>500</v>
      </c>
      <c r="V16" s="24"/>
    </row>
    <row r="17" spans="1:22">
      <c r="A17" s="49"/>
      <c r="B17" s="8" t="s">
        <v>87</v>
      </c>
      <c r="C17" s="24">
        <v>0</v>
      </c>
      <c r="D17" s="24">
        <v>0</v>
      </c>
      <c r="E17" s="24">
        <v>0</v>
      </c>
      <c r="F17" s="24">
        <v>0</v>
      </c>
      <c r="G17" s="24">
        <f>29.5*12</f>
        <v>354</v>
      </c>
      <c r="H17" s="24">
        <v>354</v>
      </c>
      <c r="I17" s="24">
        <v>236.01</v>
      </c>
      <c r="J17" s="24">
        <v>236.01</v>
      </c>
      <c r="K17" s="24">
        <v>236.01</v>
      </c>
      <c r="L17" s="24">
        <v>0</v>
      </c>
      <c r="M17" s="24">
        <v>236.01</v>
      </c>
      <c r="N17" s="146">
        <v>0</v>
      </c>
      <c r="O17" s="24">
        <v>0</v>
      </c>
      <c r="P17" s="24">
        <v>21.97</v>
      </c>
      <c r="Q17" s="24">
        <v>0</v>
      </c>
      <c r="R17" s="24">
        <v>0</v>
      </c>
      <c r="S17" s="24"/>
      <c r="T17" s="24"/>
      <c r="U17" s="24"/>
      <c r="V17" s="24"/>
    </row>
    <row r="18" spans="1:22">
      <c r="A18" s="8"/>
      <c r="B18" s="8" t="s">
        <v>89</v>
      </c>
      <c r="C18" s="24">
        <v>500</v>
      </c>
      <c r="D18" s="24">
        <v>0</v>
      </c>
      <c r="E18" s="24">
        <v>750</v>
      </c>
      <c r="F18" s="24">
        <v>354</v>
      </c>
      <c r="G18" s="24">
        <v>100</v>
      </c>
      <c r="H18" s="24">
        <v>554.87</v>
      </c>
      <c r="I18" s="24">
        <v>300</v>
      </c>
      <c r="J18" s="24">
        <v>0</v>
      </c>
      <c r="K18" s="24">
        <v>0</v>
      </c>
      <c r="L18" s="24">
        <v>0</v>
      </c>
      <c r="M18" s="24">
        <v>0</v>
      </c>
      <c r="N18" s="146">
        <v>19.2</v>
      </c>
      <c r="O18" s="24">
        <v>0</v>
      </c>
      <c r="P18" s="24"/>
      <c r="Q18" s="24">
        <v>0</v>
      </c>
      <c r="R18" s="24">
        <v>0</v>
      </c>
      <c r="S18" s="24"/>
      <c r="T18" s="24">
        <v>86.24</v>
      </c>
      <c r="U18" s="24">
        <v>100</v>
      </c>
      <c r="V18" s="24"/>
    </row>
    <row r="19" spans="1:22">
      <c r="B19" s="8" t="s">
        <v>68</v>
      </c>
      <c r="C19" s="24"/>
      <c r="D19" s="24"/>
      <c r="E19" s="24"/>
      <c r="F19" s="24"/>
      <c r="G19" s="24"/>
      <c r="H19" s="24"/>
      <c r="I19" s="24"/>
      <c r="J19" s="24"/>
      <c r="K19" s="24"/>
      <c r="L19" s="24"/>
      <c r="M19" s="24"/>
      <c r="N19" s="146"/>
      <c r="O19" s="24"/>
      <c r="P19" s="24"/>
      <c r="Q19" s="24"/>
      <c r="R19" s="24">
        <v>109.55</v>
      </c>
      <c r="S19" s="24"/>
      <c r="T19" s="24"/>
      <c r="U19" s="24"/>
      <c r="V19" s="24"/>
    </row>
    <row r="20" spans="1:22" s="8" customFormat="1">
      <c r="B20" s="8" t="s">
        <v>13</v>
      </c>
      <c r="C20" s="16">
        <f>SUBTOTAL(109,RPOExpenses[Budget 10/11])</f>
        <v>2155</v>
      </c>
      <c r="D20" s="16">
        <f>SUBTOTAL(109,RPOExpenses[Actual 10/11])</f>
        <v>1029.6300000000001</v>
      </c>
      <c r="E20" s="16">
        <f>SUBTOTAL(109,RPOExpenses[Budget 11/12])</f>
        <v>3060</v>
      </c>
      <c r="F20" s="16">
        <f>SUBTOTAL(109,RPOExpenses[Actual 11/12])</f>
        <v>1558</v>
      </c>
      <c r="G20" s="16">
        <f>SUBTOTAL(109,RPOExpenses[Budget 12/13])</f>
        <v>2609</v>
      </c>
      <c r="H20" s="16">
        <f>SUBTOTAL(109,RPOExpenses[Actual 12/13])</f>
        <v>1664.0499999999997</v>
      </c>
      <c r="I20" s="16">
        <f>SUBTOTAL(109,RPOExpenses[Budget 13/14])</f>
        <v>1666.01</v>
      </c>
      <c r="J20" s="16">
        <f>SUBTOTAL(109,RPOExpenses[Actual 13/14])</f>
        <v>2179.4499999999998</v>
      </c>
      <c r="K20" s="16">
        <f>SUBTOTAL(109,RPOExpenses[Budget 14/15])</f>
        <v>3491.01</v>
      </c>
      <c r="L20" s="16">
        <f>SUBTOTAL(109,RPOExpenses[Actual 14/15])</f>
        <v>2936.22</v>
      </c>
      <c r="M20" s="16">
        <f>SUBTOTAL(109,RPOExpenses[Budget 15/16])</f>
        <v>1491.01</v>
      </c>
      <c r="N20" s="140">
        <f>SUBTOTAL(109,RPOExpenses[Actual 15/16])</f>
        <v>191.07999999999998</v>
      </c>
      <c r="O20" s="16">
        <f>SUBTOTAL(109,RPOExpenses[Budget 16/17])</f>
        <v>1410</v>
      </c>
      <c r="P20" s="16">
        <f>SUBTOTAL(109,RPOExpenses[Actual 16/17])</f>
        <v>479.56000000000006</v>
      </c>
      <c r="Q20" s="16">
        <f>SUBTOTAL(109,RPOExpenses[Budget 17/18])</f>
        <v>1410</v>
      </c>
      <c r="R20" s="20">
        <f>SUBTOTAL(109,RPOExpenses[Actual 17/18])</f>
        <v>271.33</v>
      </c>
      <c r="S20" s="20">
        <f>SUM(RPOExpenses[Budget 18/19])</f>
        <v>870</v>
      </c>
      <c r="T20" s="20">
        <f>SUM(RPOExpenses[Actual 18/19])</f>
        <v>759.67000000000007</v>
      </c>
      <c r="U20" s="20">
        <f>SUM(RPOExpenses[Budget 19/20])</f>
        <v>2220</v>
      </c>
      <c r="V20" s="20"/>
    </row>
    <row r="21" spans="1:22" ht="13.5" thickBot="1">
      <c r="B21" s="8"/>
      <c r="C21" s="39"/>
      <c r="D21" s="39"/>
      <c r="E21" s="39"/>
      <c r="F21" s="39"/>
      <c r="G21" s="39"/>
      <c r="H21" s="39"/>
      <c r="I21" s="39"/>
      <c r="J21" s="39"/>
      <c r="K21" s="39"/>
      <c r="L21" s="39"/>
      <c r="M21" s="39"/>
      <c r="R21" s="464"/>
    </row>
    <row r="22" spans="1:22" ht="19.5" thickBot="1">
      <c r="B22" s="452" t="s">
        <v>102</v>
      </c>
      <c r="C22" s="27">
        <f>RPORevenues[[#Totals],[Budget 10/11]]-RPOExpenses[[#Totals],[Budget 10/11]]</f>
        <v>-2155</v>
      </c>
      <c r="D22" s="27">
        <f>RPORevenues[[#Totals],[Actual 10/11]]-RPOExpenses[[#Totals],[Actual 10/11]]</f>
        <v>-1029.6300000000001</v>
      </c>
      <c r="E22" s="27">
        <f>RPORevenues[[#Totals],[Budget 11/12]]-RPOExpenses[[#Totals],[Budget 11/12]]</f>
        <v>-3060</v>
      </c>
      <c r="F22" s="27">
        <f>RPORevenues[[#Totals],[Actual 11/12]]-RPOExpenses[[#Totals],[Actual 11/12]]</f>
        <v>-1558</v>
      </c>
      <c r="G22" s="27">
        <f>RPORevenues[[#Totals],[Budget 12/13]]-RPOExpenses[[#Totals],[Budget 12/13]]</f>
        <v>-2609</v>
      </c>
      <c r="H22" s="27">
        <f>RPORevenues[[#Totals],[Actual 12/13]]-RPOExpenses[[#Totals],[Actual 12/13]]</f>
        <v>-1664.0499999999997</v>
      </c>
      <c r="I22" s="27">
        <f>RPORevenues[[#Totals],[Budget 13/14]]-RPOExpenses[[#Totals],[Budget 13/14]]</f>
        <v>-1666.01</v>
      </c>
      <c r="J22" s="27">
        <f>RPORevenues[[#Totals],[Actual 13/14]]-RPOExpenses[[#Totals],[Actual 13/14]]</f>
        <v>-2179.4499999999998</v>
      </c>
      <c r="K22" s="27">
        <f>RPORevenues[[#Totals],[Budget 14/15]]-RPOExpenses[[#Totals],[Budget 14/15]]</f>
        <v>-3491.01</v>
      </c>
      <c r="L22" s="27">
        <f>RPORevenues[[#Totals],[Actual 14/15]]-RPOExpenses[[#Totals],[Actual 14/15]]</f>
        <v>-2936.22</v>
      </c>
      <c r="M22" s="27">
        <f>RPORevenues[[#Totals],[Budget 15/16]]-RPOExpenses[[#Totals],[Budget 15/16]]</f>
        <v>-1491.01</v>
      </c>
      <c r="N22" s="27">
        <f>RPORevenues[[#Totals],[Actual 15/16]]-RPOExpenses[[#Totals],[Actual 15/16]]</f>
        <v>-191.07999999999998</v>
      </c>
      <c r="O22" s="27">
        <f>RPORevenues[[#Totals],[Budget 16/17]]-RPOExpenses[[#Totals],[Budget 16/17]]</f>
        <v>-1410</v>
      </c>
      <c r="P22" s="27">
        <f>RPORevenues[[#Totals],[Actual 16/17]]-RPOExpenses[[#Totals],[Actual 16/17]]</f>
        <v>-479.56000000000006</v>
      </c>
      <c r="Q22" s="27">
        <f>RPORevenues[[#Totals],[Budget 17/18]]-RPOExpenses[[#Totals],[Budget 17/18]]</f>
        <v>-1410</v>
      </c>
      <c r="R22" s="27">
        <f>RPORevenues[[#Totals],[Actual 17/18]]-RPOExpenses[[#Totals],[Actual 17/18]]</f>
        <v>-271.33</v>
      </c>
      <c r="S22" s="27">
        <f>RPORevenues[[#Totals],[Budget 18/19]]-RPOExpenses[[#Totals],[Budget 18/19]]</f>
        <v>-870</v>
      </c>
      <c r="T22" s="27">
        <f>RPORevenues[[#Totals],[Actual 18/19]]-RPOExpenses[[#Totals],[Actual 18/19]]</f>
        <v>-759.67000000000007</v>
      </c>
      <c r="U22" s="30">
        <f>RPORevenues[[#Totals],[Budget 19/20]]-RPOExpenses[[#Totals],[Budget 19/20]]</f>
        <v>-2220</v>
      </c>
      <c r="V22" s="30"/>
    </row>
  </sheetData>
  <pageMargins left="0" right="0" top="0.98425196850393704" bottom="0.98425196850393704" header="0.51181102362204722" footer="0.51181102362204722"/>
  <pageSetup paperSize="5" orientation="landscape" r:id="rId1"/>
  <headerFooter alignWithMargins="0"/>
  <legacyDrawing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1"/>
    <pageSetUpPr fitToPage="1"/>
  </sheetPr>
  <dimension ref="A1:V67"/>
  <sheetViews>
    <sheetView showGridLines="0" topLeftCell="B1" zoomScaleNormal="100" workbookViewId="0">
      <selection activeCell="B10" sqref="B10"/>
    </sheetView>
  </sheetViews>
  <sheetFormatPr defaultColWidth="11.42578125" defaultRowHeight="12.75"/>
  <cols>
    <col min="1" max="1" width="13.85546875" customWidth="1"/>
    <col min="2" max="2" width="30.140625" customWidth="1"/>
    <col min="3" max="13" width="15.42578125" hidden="1" customWidth="1"/>
    <col min="14" max="14" width="14.28515625" style="148" hidden="1" customWidth="1"/>
    <col min="15" max="15" width="14.28515625" hidden="1" customWidth="1"/>
    <col min="16" max="16" width="14.5703125" hidden="1" customWidth="1"/>
    <col min="17" max="17" width="17.7109375" customWidth="1"/>
    <col min="18" max="18" width="17" customWidth="1"/>
    <col min="19" max="19" width="16.28515625" customWidth="1"/>
    <col min="20" max="20" width="14.5703125" customWidth="1"/>
    <col min="21" max="21" width="15.5703125" customWidth="1"/>
  </cols>
  <sheetData>
    <row r="1" spans="1:22" ht="18">
      <c r="A1" s="534" t="s">
        <v>141</v>
      </c>
      <c r="B1" s="534"/>
      <c r="C1" s="7"/>
      <c r="D1" s="7"/>
      <c r="E1" s="7"/>
      <c r="F1" s="7"/>
      <c r="G1" s="7"/>
      <c r="H1" s="7"/>
      <c r="I1" s="7"/>
      <c r="J1" s="7"/>
      <c r="K1" s="7"/>
      <c r="L1" s="7"/>
      <c r="M1" s="7"/>
    </row>
    <row r="2" spans="1:22">
      <c r="A2" s="535" t="s">
        <v>46</v>
      </c>
      <c r="B2" s="535"/>
      <c r="C2" s="8"/>
      <c r="D2" s="8"/>
      <c r="E2" s="8"/>
      <c r="F2" s="8"/>
      <c r="G2" s="8"/>
      <c r="H2" s="8"/>
      <c r="I2" s="8"/>
      <c r="J2" s="8"/>
      <c r="K2" s="8"/>
      <c r="L2" s="8"/>
      <c r="M2" s="8"/>
    </row>
    <row r="3" spans="1:22">
      <c r="A3" s="10"/>
      <c r="B3" s="8"/>
      <c r="C3" s="8"/>
      <c r="D3" s="8"/>
      <c r="E3" s="8"/>
      <c r="F3" s="8"/>
      <c r="G3" s="8"/>
      <c r="H3" s="8"/>
      <c r="I3" s="8"/>
      <c r="J3" s="8"/>
      <c r="K3" s="8"/>
      <c r="L3" s="8"/>
      <c r="M3" s="8"/>
    </row>
    <row r="4" spans="1:22" ht="15.75">
      <c r="A4" s="8"/>
      <c r="B4" s="6" t="s">
        <v>47</v>
      </c>
      <c r="C4" s="13" t="s">
        <v>48</v>
      </c>
      <c r="D4" s="13" t="s">
        <v>49</v>
      </c>
      <c r="E4" s="13" t="s">
        <v>50</v>
      </c>
      <c r="F4" s="13" t="s">
        <v>51</v>
      </c>
      <c r="G4" s="13" t="s">
        <v>52</v>
      </c>
      <c r="H4" s="13" t="s">
        <v>53</v>
      </c>
      <c r="I4" s="13" t="s">
        <v>54</v>
      </c>
      <c r="J4" s="13" t="s">
        <v>55</v>
      </c>
      <c r="K4" s="13" t="s">
        <v>56</v>
      </c>
      <c r="L4" s="13" t="s">
        <v>57</v>
      </c>
      <c r="M4" s="13" t="s">
        <v>29</v>
      </c>
      <c r="N4" s="147" t="s">
        <v>30</v>
      </c>
      <c r="O4" s="13" t="s">
        <v>31</v>
      </c>
      <c r="P4" s="13" t="s">
        <v>32</v>
      </c>
      <c r="Q4" s="13" t="s">
        <v>33</v>
      </c>
      <c r="R4" s="13" t="s">
        <v>34</v>
      </c>
      <c r="S4" s="13" t="s">
        <v>6</v>
      </c>
      <c r="T4" s="13" t="s">
        <v>7</v>
      </c>
      <c r="U4" s="13" t="s">
        <v>8</v>
      </c>
      <c r="V4" s="13" t="s">
        <v>35</v>
      </c>
    </row>
    <row r="5" spans="1:22">
      <c r="A5" s="8"/>
      <c r="B5" s="8"/>
      <c r="C5" s="43">
        <v>0</v>
      </c>
      <c r="D5" s="43">
        <v>0</v>
      </c>
      <c r="E5" s="43">
        <v>0</v>
      </c>
      <c r="F5" s="43">
        <v>0</v>
      </c>
      <c r="G5" s="43">
        <v>0</v>
      </c>
      <c r="H5" s="43">
        <v>0</v>
      </c>
      <c r="I5" s="43">
        <v>0</v>
      </c>
      <c r="J5" s="43">
        <v>0</v>
      </c>
      <c r="K5" s="43">
        <v>0</v>
      </c>
      <c r="L5" s="43">
        <v>0</v>
      </c>
      <c r="M5" s="43">
        <v>0</v>
      </c>
      <c r="N5" s="146">
        <v>0</v>
      </c>
      <c r="O5" s="43">
        <v>0</v>
      </c>
      <c r="P5" s="43"/>
      <c r="Q5" s="43"/>
      <c r="R5" s="43"/>
      <c r="S5" s="43"/>
      <c r="T5" s="43"/>
      <c r="U5" s="43"/>
      <c r="V5" s="219"/>
    </row>
    <row r="6" spans="1:22">
      <c r="A6" s="8"/>
      <c r="B6" s="8" t="s">
        <v>13</v>
      </c>
      <c r="C6" s="16">
        <f>SUBTOTAL(109,ElectionsRevenues[Budget 10/11])</f>
        <v>0</v>
      </c>
      <c r="D6" s="16">
        <f>SUBTOTAL(109,ElectionsRevenues[Actual 10/11])</f>
        <v>0</v>
      </c>
      <c r="E6" s="16">
        <f>SUBTOTAL(109,ElectionsRevenues[Budget 11/12])</f>
        <v>0</v>
      </c>
      <c r="F6" s="16">
        <f>SUBTOTAL(109,ElectionsRevenues[Actual 11/12])</f>
        <v>0</v>
      </c>
      <c r="G6" s="16">
        <f>SUBTOTAL(109,ElectionsRevenues[Budget 12/13])</f>
        <v>0</v>
      </c>
      <c r="H6" s="16">
        <f>SUBTOTAL(109,ElectionsRevenues[Actual 12/13])</f>
        <v>0</v>
      </c>
      <c r="I6" s="16">
        <f>SUBTOTAL(109,ElectionsRevenues[Budget 13/14])</f>
        <v>0</v>
      </c>
      <c r="J6" s="16">
        <f>SUBTOTAL(109,ElectionsRevenues[Actual 13/14])</f>
        <v>0</v>
      </c>
      <c r="K6" s="16">
        <f>SUBTOTAL(109,ElectionsRevenues[Budget 14/15])</f>
        <v>0</v>
      </c>
      <c r="L6" s="16">
        <f>SUBTOTAL(109,ElectionsRevenues[Actuals 14/15])</f>
        <v>0</v>
      </c>
      <c r="M6" s="16">
        <f>SUBTOTAL(109,ElectionsRevenues[Budget 15/16])</f>
        <v>0</v>
      </c>
      <c r="N6" s="140">
        <f>SUBTOTAL(109,ElectionsRevenues[Actual 15/16])</f>
        <v>0</v>
      </c>
      <c r="O6" s="16">
        <f>SUBTOTAL(109,ElectionsRevenues[Budget 16/17])</f>
        <v>0</v>
      </c>
      <c r="P6" s="16">
        <f>SUBTOTAL(109,ElectionsRevenues[Actual 16/17])</f>
        <v>0</v>
      </c>
      <c r="Q6" s="16">
        <f>SUBTOTAL(109,ElectionsRevenues[Budget 17/18])</f>
        <v>0</v>
      </c>
      <c r="R6" s="8">
        <f>SUBTOTAL(109,ElectionsRevenues[Revenues])</f>
        <v>0</v>
      </c>
      <c r="S6" s="8">
        <f>SUBTOTAL(109,ElectionsRevenues[Budget 10/11])</f>
        <v>0</v>
      </c>
      <c r="T6" s="8"/>
      <c r="U6" s="8">
        <f>SUBTOTAL(109,ElectionsRevenues[Actual 10/11])</f>
        <v>0</v>
      </c>
      <c r="V6" s="8"/>
    </row>
    <row r="7" spans="1:22">
      <c r="B7" s="8"/>
      <c r="C7" s="8"/>
      <c r="D7" s="8"/>
      <c r="E7" s="8"/>
      <c r="F7" s="8"/>
      <c r="G7" s="8"/>
      <c r="H7" s="8"/>
      <c r="I7" s="8"/>
      <c r="J7" s="8"/>
      <c r="K7" s="8"/>
      <c r="L7" s="8"/>
      <c r="M7" s="8"/>
    </row>
    <row r="8" spans="1:22" ht="15.75">
      <c r="A8" s="48" t="s">
        <v>107</v>
      </c>
      <c r="B8" s="6" t="s">
        <v>61</v>
      </c>
      <c r="C8" s="13" t="s">
        <v>48</v>
      </c>
      <c r="D8" s="13" t="s">
        <v>49</v>
      </c>
      <c r="E8" s="13" t="s">
        <v>50</v>
      </c>
      <c r="F8" s="13" t="s">
        <v>51</v>
      </c>
      <c r="G8" s="13" t="s">
        <v>52</v>
      </c>
      <c r="H8" s="13" t="s">
        <v>53</v>
      </c>
      <c r="I8" s="13" t="s">
        <v>54</v>
      </c>
      <c r="J8" s="13" t="s">
        <v>55</v>
      </c>
      <c r="K8" s="13" t="s">
        <v>56</v>
      </c>
      <c r="L8" s="13" t="s">
        <v>57</v>
      </c>
      <c r="M8" s="13" t="s">
        <v>29</v>
      </c>
      <c r="N8" s="147" t="s">
        <v>30</v>
      </c>
      <c r="O8" s="13" t="s">
        <v>31</v>
      </c>
      <c r="P8" s="13" t="s">
        <v>32</v>
      </c>
      <c r="Q8" s="13" t="s">
        <v>33</v>
      </c>
      <c r="R8" s="13" t="s">
        <v>34</v>
      </c>
      <c r="S8" s="13" t="s">
        <v>6</v>
      </c>
      <c r="T8" s="13" t="s">
        <v>7</v>
      </c>
      <c r="U8" s="13" t="s">
        <v>8</v>
      </c>
      <c r="V8" s="13" t="s">
        <v>35</v>
      </c>
    </row>
    <row r="9" spans="1:22">
      <c r="A9" s="48" t="s">
        <v>142</v>
      </c>
      <c r="B9" s="8" t="s">
        <v>143</v>
      </c>
      <c r="C9" s="43">
        <v>0</v>
      </c>
      <c r="D9" s="43">
        <v>0</v>
      </c>
      <c r="E9" s="43">
        <v>0</v>
      </c>
      <c r="F9" s="43">
        <v>0</v>
      </c>
      <c r="G9" s="43">
        <v>0</v>
      </c>
      <c r="H9" s="43">
        <v>307.5</v>
      </c>
      <c r="I9" s="43">
        <v>350</v>
      </c>
      <c r="J9" s="43">
        <v>102.5</v>
      </c>
      <c r="K9" s="43">
        <v>900</v>
      </c>
      <c r="L9" s="43">
        <v>1303.31</v>
      </c>
      <c r="M9" s="43">
        <v>900</v>
      </c>
      <c r="N9" s="146">
        <v>5089.04</v>
      </c>
      <c r="O9" s="43">
        <v>4500</v>
      </c>
      <c r="P9" s="219">
        <v>3569.79</v>
      </c>
      <c r="Q9" s="43">
        <v>4500</v>
      </c>
      <c r="R9" s="43">
        <v>1329.1</v>
      </c>
      <c r="S9" s="43">
        <v>4000</v>
      </c>
      <c r="T9" s="43">
        <v>5894.92</v>
      </c>
      <c r="U9" s="39"/>
      <c r="V9" s="39"/>
    </row>
    <row r="10" spans="1:22">
      <c r="A10" s="48" t="s">
        <v>144</v>
      </c>
      <c r="B10" s="26" t="s">
        <v>145</v>
      </c>
      <c r="C10" s="43"/>
      <c r="D10" s="43"/>
      <c r="E10" s="43"/>
      <c r="F10" s="43"/>
      <c r="G10" s="43"/>
      <c r="H10" s="43"/>
      <c r="I10" s="43"/>
      <c r="J10" s="43"/>
      <c r="K10" s="43"/>
      <c r="L10" s="43"/>
      <c r="M10" s="43"/>
      <c r="N10" s="146"/>
      <c r="O10" s="305"/>
      <c r="P10" s="219"/>
      <c r="Q10" s="43"/>
      <c r="R10" s="186"/>
      <c r="S10" s="186"/>
      <c r="T10" s="186"/>
      <c r="U10" s="15">
        <v>1000</v>
      </c>
      <c r="V10" s="15"/>
    </row>
    <row r="11" spans="1:22">
      <c r="A11" s="48" t="s">
        <v>146</v>
      </c>
      <c r="B11" s="26" t="s">
        <v>147</v>
      </c>
      <c r="C11" s="43"/>
      <c r="D11" s="43"/>
      <c r="E11" s="43"/>
      <c r="F11" s="43"/>
      <c r="G11" s="43"/>
      <c r="H11" s="43"/>
      <c r="I11" s="43"/>
      <c r="J11" s="43"/>
      <c r="K11" s="43"/>
      <c r="L11" s="43"/>
      <c r="M11" s="43"/>
      <c r="N11" s="146"/>
      <c r="O11" s="305"/>
      <c r="P11" s="219"/>
      <c r="Q11" s="43"/>
      <c r="R11" s="186"/>
      <c r="S11" s="186"/>
      <c r="T11" s="186"/>
      <c r="U11" s="15">
        <v>2000</v>
      </c>
      <c r="V11" s="15"/>
    </row>
    <row r="12" spans="1:22">
      <c r="A12" s="48" t="s">
        <v>148</v>
      </c>
      <c r="B12" s="26" t="s">
        <v>149</v>
      </c>
      <c r="C12" s="43"/>
      <c r="D12" s="43"/>
      <c r="E12" s="43"/>
      <c r="F12" s="43"/>
      <c r="G12" s="43"/>
      <c r="H12" s="43"/>
      <c r="I12" s="43"/>
      <c r="J12" s="43"/>
      <c r="K12" s="43"/>
      <c r="L12" s="43"/>
      <c r="M12" s="43"/>
      <c r="N12" s="146"/>
      <c r="O12" s="305"/>
      <c r="P12" s="219"/>
      <c r="Q12" s="43"/>
      <c r="R12" s="186"/>
      <c r="S12" s="186"/>
      <c r="T12" s="186"/>
      <c r="U12" s="15">
        <v>1500</v>
      </c>
      <c r="V12" s="15"/>
    </row>
    <row r="13" spans="1:22">
      <c r="A13" s="48" t="s">
        <v>150</v>
      </c>
      <c r="B13" s="26" t="s">
        <v>151</v>
      </c>
      <c r="C13" s="43"/>
      <c r="D13" s="43"/>
      <c r="E13" s="43"/>
      <c r="F13" s="43"/>
      <c r="G13" s="43"/>
      <c r="H13" s="43"/>
      <c r="I13" s="43"/>
      <c r="J13" s="43"/>
      <c r="K13" s="43"/>
      <c r="L13" s="43"/>
      <c r="M13" s="43"/>
      <c r="N13" s="146"/>
      <c r="O13" s="305"/>
      <c r="P13" s="219"/>
      <c r="Q13" s="43"/>
      <c r="R13" s="186"/>
      <c r="S13" s="186"/>
      <c r="T13" s="186"/>
      <c r="U13" s="15">
        <v>0</v>
      </c>
      <c r="V13" s="15"/>
    </row>
    <row r="14" spans="1:22">
      <c r="A14" s="48" t="s">
        <v>152</v>
      </c>
      <c r="B14" s="8" t="s">
        <v>153</v>
      </c>
      <c r="C14" s="43">
        <v>600</v>
      </c>
      <c r="D14" s="43">
        <v>500</v>
      </c>
      <c r="E14" s="43">
        <v>400</v>
      </c>
      <c r="F14" s="43">
        <v>-500</v>
      </c>
      <c r="G14" s="43">
        <v>500</v>
      </c>
      <c r="H14" s="43">
        <v>0</v>
      </c>
      <c r="I14" s="43">
        <v>500</v>
      </c>
      <c r="J14" s="43">
        <v>0</v>
      </c>
      <c r="K14" s="43">
        <v>500</v>
      </c>
      <c r="L14" s="43">
        <v>500</v>
      </c>
      <c r="M14" s="43">
        <v>500</v>
      </c>
      <c r="N14" s="146">
        <v>0</v>
      </c>
      <c r="O14" s="43">
        <v>0</v>
      </c>
      <c r="P14" s="219"/>
      <c r="Q14" s="43"/>
      <c r="R14" s="43"/>
      <c r="S14" s="43"/>
      <c r="T14" s="43"/>
      <c r="U14" s="220"/>
      <c r="V14" s="220"/>
    </row>
    <row r="15" spans="1:22">
      <c r="A15" s="48" t="s">
        <v>154</v>
      </c>
      <c r="B15" s="8" t="s">
        <v>77</v>
      </c>
      <c r="C15" s="43">
        <v>15</v>
      </c>
      <c r="D15" s="43">
        <v>0</v>
      </c>
      <c r="E15" s="43">
        <v>15</v>
      </c>
      <c r="F15" s="43">
        <v>0</v>
      </c>
      <c r="G15" s="43">
        <v>0</v>
      </c>
      <c r="H15" s="43">
        <v>56.65</v>
      </c>
      <c r="I15" s="43">
        <v>0</v>
      </c>
      <c r="J15" s="43">
        <v>0</v>
      </c>
      <c r="K15" s="43">
        <v>0</v>
      </c>
      <c r="L15" s="43">
        <v>0</v>
      </c>
      <c r="M15" s="43">
        <v>0</v>
      </c>
      <c r="N15" s="146">
        <v>0</v>
      </c>
      <c r="O15" s="43">
        <v>50</v>
      </c>
      <c r="P15" s="219"/>
      <c r="Q15" s="43">
        <v>75</v>
      </c>
      <c r="R15" s="43"/>
      <c r="S15" s="43">
        <v>50</v>
      </c>
      <c r="T15" s="43"/>
      <c r="U15" s="220">
        <v>50</v>
      </c>
      <c r="V15" s="220"/>
    </row>
    <row r="16" spans="1:22">
      <c r="A16" s="48" t="s">
        <v>155</v>
      </c>
      <c r="B16" s="8" t="s">
        <v>156</v>
      </c>
      <c r="C16" s="43">
        <v>0</v>
      </c>
      <c r="D16" s="43">
        <v>0</v>
      </c>
      <c r="E16" s="43">
        <v>0</v>
      </c>
      <c r="F16" s="43">
        <v>15.22</v>
      </c>
      <c r="G16" s="43">
        <v>0</v>
      </c>
      <c r="H16" s="43">
        <v>0</v>
      </c>
      <c r="I16" s="43">
        <v>0</v>
      </c>
      <c r="J16" s="43">
        <v>2.7</v>
      </c>
      <c r="K16" s="43">
        <v>0</v>
      </c>
      <c r="L16" s="43"/>
      <c r="M16" s="43">
        <v>0</v>
      </c>
      <c r="N16" s="146">
        <v>0</v>
      </c>
      <c r="O16" s="43">
        <v>0</v>
      </c>
      <c r="P16" s="219"/>
      <c r="Q16" s="43"/>
      <c r="R16" s="43"/>
      <c r="S16" s="43"/>
      <c r="T16" s="43"/>
      <c r="U16" s="220"/>
      <c r="V16" s="220"/>
    </row>
    <row r="17" spans="1:22">
      <c r="A17" s="48"/>
      <c r="B17" s="8" t="s">
        <v>157</v>
      </c>
      <c r="C17" s="43">
        <v>0</v>
      </c>
      <c r="D17" s="43">
        <v>0</v>
      </c>
      <c r="E17" s="43">
        <v>0</v>
      </c>
      <c r="F17" s="43">
        <v>0</v>
      </c>
      <c r="G17" s="43">
        <v>0</v>
      </c>
      <c r="H17" s="43">
        <v>0</v>
      </c>
      <c r="I17" s="43">
        <v>0</v>
      </c>
      <c r="J17" s="43">
        <v>0</v>
      </c>
      <c r="K17" s="43">
        <v>0</v>
      </c>
      <c r="L17" s="43">
        <v>0</v>
      </c>
      <c r="M17" s="43">
        <v>0</v>
      </c>
      <c r="N17" s="146">
        <v>0</v>
      </c>
      <c r="O17" s="43">
        <v>0</v>
      </c>
      <c r="P17" s="219"/>
      <c r="Q17" s="43"/>
      <c r="R17" s="43"/>
      <c r="S17" s="43"/>
      <c r="T17" s="43"/>
      <c r="U17" s="220"/>
      <c r="V17" s="220"/>
    </row>
    <row r="18" spans="1:22">
      <c r="A18" s="48"/>
      <c r="B18" s="8" t="s">
        <v>81</v>
      </c>
      <c r="C18" s="43">
        <v>150</v>
      </c>
      <c r="D18" s="43">
        <v>16.82</v>
      </c>
      <c r="E18" s="43">
        <v>100</v>
      </c>
      <c r="F18" s="43">
        <v>133.05000000000001</v>
      </c>
      <c r="G18" s="43">
        <v>100</v>
      </c>
      <c r="H18" s="43">
        <v>0</v>
      </c>
      <c r="I18" s="43">
        <v>100</v>
      </c>
      <c r="J18" s="43">
        <v>0</v>
      </c>
      <c r="K18" s="43">
        <v>100</v>
      </c>
      <c r="L18" s="43">
        <v>0</v>
      </c>
      <c r="M18" s="43">
        <v>100</v>
      </c>
      <c r="N18" s="146">
        <v>410.46</v>
      </c>
      <c r="O18" s="43">
        <v>300</v>
      </c>
      <c r="P18" s="219">
        <v>209.06</v>
      </c>
      <c r="Q18" s="43">
        <v>400</v>
      </c>
      <c r="R18" s="43"/>
      <c r="S18" s="43"/>
      <c r="T18" s="43"/>
      <c r="U18" s="220"/>
      <c r="V18" s="220"/>
    </row>
    <row r="19" spans="1:22">
      <c r="B19" s="8" t="s">
        <v>158</v>
      </c>
      <c r="C19" s="43">
        <v>700</v>
      </c>
      <c r="D19" s="43">
        <v>288.89</v>
      </c>
      <c r="E19" s="43">
        <v>500</v>
      </c>
      <c r="F19" s="43">
        <v>928.57</v>
      </c>
      <c r="G19" s="43">
        <v>0</v>
      </c>
      <c r="H19" s="43">
        <v>1679.29</v>
      </c>
      <c r="I19" s="43">
        <v>0</v>
      </c>
      <c r="J19" s="43">
        <v>0</v>
      </c>
      <c r="K19" s="43">
        <v>0</v>
      </c>
      <c r="L19" s="43">
        <v>0</v>
      </c>
      <c r="M19" s="43">
        <v>0</v>
      </c>
      <c r="N19" s="146">
        <v>0</v>
      </c>
      <c r="O19" s="43">
        <v>0</v>
      </c>
      <c r="P19" s="219"/>
      <c r="Q19" s="43">
        <v>3000</v>
      </c>
      <c r="R19" s="43">
        <v>1372.89</v>
      </c>
      <c r="S19" s="43"/>
      <c r="T19" s="43"/>
      <c r="U19" s="220"/>
      <c r="V19" s="220"/>
    </row>
    <row r="20" spans="1:22">
      <c r="B20" s="8" t="s">
        <v>159</v>
      </c>
      <c r="C20" s="43">
        <v>2000</v>
      </c>
      <c r="D20" s="43">
        <v>1203.94</v>
      </c>
      <c r="E20" s="43">
        <v>2000</v>
      </c>
      <c r="F20" s="43">
        <v>978.68</v>
      </c>
      <c r="G20" s="43">
        <v>2000</v>
      </c>
      <c r="H20" s="43">
        <v>695.18</v>
      </c>
      <c r="I20" s="43">
        <v>1500</v>
      </c>
      <c r="J20" s="43">
        <v>1096.67</v>
      </c>
      <c r="K20" s="43">
        <v>1500</v>
      </c>
      <c r="L20" s="43">
        <v>47.05</v>
      </c>
      <c r="M20" s="43">
        <v>2000</v>
      </c>
      <c r="N20" s="146">
        <v>1137.1600000000001</v>
      </c>
      <c r="O20" s="43">
        <v>1000</v>
      </c>
      <c r="P20" s="219">
        <v>1444.89</v>
      </c>
      <c r="Q20" s="43">
        <v>1300</v>
      </c>
      <c r="R20" s="43"/>
      <c r="S20" s="43">
        <v>1500</v>
      </c>
      <c r="T20" s="43">
        <v>1576.56</v>
      </c>
      <c r="U20" s="220">
        <v>1500</v>
      </c>
      <c r="V20" s="220"/>
    </row>
    <row r="21" spans="1:22" s="8" customFormat="1">
      <c r="B21" s="8" t="s">
        <v>68</v>
      </c>
      <c r="C21" s="43"/>
      <c r="D21" s="43"/>
      <c r="E21" s="43"/>
      <c r="F21" s="43"/>
      <c r="G21" s="43"/>
      <c r="H21" s="43"/>
      <c r="I21" s="43"/>
      <c r="J21" s="43"/>
      <c r="K21" s="43"/>
      <c r="L21" s="43"/>
      <c r="M21" s="43"/>
      <c r="N21" s="146"/>
      <c r="O21" s="139"/>
      <c r="P21" s="219"/>
      <c r="Q21" s="43"/>
      <c r="R21" s="43">
        <v>517.77</v>
      </c>
      <c r="S21" s="43">
        <v>750</v>
      </c>
      <c r="T21" s="43">
        <v>57.39</v>
      </c>
      <c r="U21" s="220">
        <v>750</v>
      </c>
      <c r="V21" s="220"/>
    </row>
    <row r="22" spans="1:22">
      <c r="B22" s="8" t="s">
        <v>160</v>
      </c>
      <c r="C22" s="43"/>
      <c r="D22" s="43"/>
      <c r="E22" s="43"/>
      <c r="F22" s="43"/>
      <c r="G22" s="43"/>
      <c r="H22" s="43"/>
      <c r="I22" s="43"/>
      <c r="J22" s="43"/>
      <c r="K22" s="43"/>
      <c r="L22" s="43"/>
      <c r="M22" s="43"/>
      <c r="N22" s="146"/>
      <c r="O22" s="305"/>
      <c r="P22" s="219"/>
      <c r="Q22" s="43"/>
      <c r="R22" s="43">
        <v>-139.54</v>
      </c>
      <c r="S22" s="43"/>
      <c r="T22" s="43">
        <v>1318.31</v>
      </c>
      <c r="U22" s="220"/>
      <c r="V22" s="220"/>
    </row>
    <row r="23" spans="1:22">
      <c r="B23" s="8" t="s">
        <v>13</v>
      </c>
      <c r="C23" s="16">
        <f>SUBTOTAL(109,ElectionsExpenses[Budget 10/11])</f>
        <v>3465</v>
      </c>
      <c r="D23" s="16">
        <f>SUBTOTAL(109,ElectionsExpenses[Actual 10/11])</f>
        <v>2009.65</v>
      </c>
      <c r="E23" s="16">
        <f>SUBTOTAL(109,ElectionsExpenses[Budget 11/12])</f>
        <v>3015</v>
      </c>
      <c r="F23" s="16">
        <f>SUBTOTAL(109,ElectionsExpenses[Actual 11/12])</f>
        <v>1555.52</v>
      </c>
      <c r="G23" s="16">
        <f>SUBTOTAL(109,ElectionsExpenses[Budget 12/13])</f>
        <v>2600</v>
      </c>
      <c r="H23" s="16">
        <f>SUBTOTAL(109,ElectionsExpenses[Actual 12/13])</f>
        <v>2738.62</v>
      </c>
      <c r="I23" s="16">
        <f>SUBTOTAL(109,ElectionsExpenses[Budget 13/14])</f>
        <v>2450</v>
      </c>
      <c r="J23" s="16">
        <f>SUBTOTAL(109,ElectionsExpenses[Actual 13/14])</f>
        <v>1201.8700000000001</v>
      </c>
      <c r="K23" s="16">
        <f>SUBTOTAL(109,ElectionsExpenses[Budget 14/15])</f>
        <v>3000</v>
      </c>
      <c r="L23" s="16">
        <f>SUBTOTAL(109,ElectionsExpenses[Actuals 14/15])</f>
        <v>1850.36</v>
      </c>
      <c r="M23" s="16">
        <f>SUBTOTAL(109,ElectionsExpenses[Budget 15/16])</f>
        <v>3500</v>
      </c>
      <c r="N23" s="140">
        <f>SUBTOTAL(109,ElectionsExpenses[Actual 15/16])</f>
        <v>6636.66</v>
      </c>
      <c r="O23" s="16">
        <f>SUBTOTAL(109,ElectionsExpenses[Budget 16/17])</f>
        <v>5850</v>
      </c>
      <c r="P23" s="16">
        <f>SUBTOTAL(109,ElectionsExpenses[Actual 16/17])</f>
        <v>5223.74</v>
      </c>
      <c r="Q23" s="16">
        <f>SUBTOTAL(109,ElectionsExpenses[Budget 17/18])</f>
        <v>9275</v>
      </c>
      <c r="R23" s="20">
        <f>SUBTOTAL(109,ElectionsExpenses[Actual 17/18])</f>
        <v>3080.22</v>
      </c>
      <c r="S23" s="20">
        <f>SUM(ElectionsExpenses[Budget 18/19])</f>
        <v>6300</v>
      </c>
      <c r="T23" s="20">
        <f>SUM(ElectionsExpenses[Actual 18/19])</f>
        <v>8847.18</v>
      </c>
      <c r="U23" s="20">
        <f>SUM(ElectionsExpenses[Budget 19/20])</f>
        <v>6800</v>
      </c>
      <c r="V23" s="20"/>
    </row>
    <row r="24" spans="1:22" ht="13.5" thickBot="1">
      <c r="B24" s="8"/>
      <c r="C24" s="8"/>
      <c r="D24" s="8"/>
      <c r="E24" s="8"/>
      <c r="F24" s="8"/>
      <c r="G24" s="8"/>
      <c r="H24" s="8"/>
      <c r="I24" s="8"/>
      <c r="J24" s="8"/>
      <c r="K24" s="8"/>
      <c r="L24" s="8"/>
      <c r="M24" s="8"/>
      <c r="S24" s="12"/>
    </row>
    <row r="25" spans="1:22" ht="19.5" thickBot="1">
      <c r="B25" s="452" t="s">
        <v>102</v>
      </c>
      <c r="C25" s="27" t="b">
        <f>'Governance Portfolio'!B15=ElectionsRevenues[[#Totals],[Budget 10/11]]-ElectionsExpenses[[#Totals],[Budget 10/11]]</f>
        <v>0</v>
      </c>
      <c r="D25" s="27">
        <f>ElectionsRevenues[[#Totals],[Actual 10/11]]-ElectionsExpenses[[#Totals],[Actual 10/11]]</f>
        <v>-2009.65</v>
      </c>
      <c r="E25" s="27">
        <f>ElectionsRevenues[[#Totals],[Budget 11/12]]-ElectionsExpenses[[#Totals],[Budget 11/12]]</f>
        <v>-3015</v>
      </c>
      <c r="F25" s="27">
        <f>ElectionsRevenues[[#Totals],[Actual 11/12]]-ElectionsExpenses[[#Totals],[Actual 11/12]]</f>
        <v>-1555.52</v>
      </c>
      <c r="G25" s="27">
        <f>ElectionsRevenues[[#Totals],[Budget 12/13]]-ElectionsExpenses[[#Totals],[Budget 12/13]]</f>
        <v>-2600</v>
      </c>
      <c r="H25" s="27">
        <f>ElectionsRevenues[[#Totals],[Actual 12/13]]-ElectionsExpenses[[#Totals],[Actual 12/13]]</f>
        <v>-2738.62</v>
      </c>
      <c r="I25" s="27">
        <f>ElectionsRevenues[[#Totals],[Budget 13/14]]-ElectionsExpenses[[#Totals],[Budget 13/14]]</f>
        <v>-2450</v>
      </c>
      <c r="J25" s="27">
        <f>ElectionsRevenues[[#Totals],[Actual 13/14]]-ElectionsExpenses[[#Totals],[Actual 13/14]]</f>
        <v>-1201.8700000000001</v>
      </c>
      <c r="K25" s="27">
        <f>ElectionsRevenues[[#Totals],[Budget 14/15]]-ElectionsExpenses[[#Totals],[Budget 14/15]]</f>
        <v>-3000</v>
      </c>
      <c r="L25" s="27">
        <f>ElectionsRevenues[[#Totals],[Actuals 14/15]]-ElectionsExpenses[[#Totals],[Actuals 14/15]]</f>
        <v>-1850.36</v>
      </c>
      <c r="M25" s="27">
        <f>ElectionsRevenues[[#Totals],[Budget 15/16]]-ElectionsExpenses[[#Totals],[Budget 15/16]]</f>
        <v>-3500</v>
      </c>
      <c r="N25" s="27">
        <f>ElectionsRevenues[[#Totals],[Actual 15/16]]-ElectionsExpenses[[#Totals],[Actual 15/16]]</f>
        <v>-6636.66</v>
      </c>
      <c r="O25" s="27">
        <f>ElectionsRevenues[[#Totals],[Budget 16/17]]-ElectionsExpenses[[#Totals],[Budget 16/17]]</f>
        <v>-5850</v>
      </c>
      <c r="P25" s="27">
        <f>ElectionsRevenues[[#Totals],[Actual 16/17]]-ElectionsExpenses[[#Totals],[Actual 16/17]]</f>
        <v>-5223.74</v>
      </c>
      <c r="Q25" s="27">
        <f>ElectionsRevenues[[#Totals],[Budget 17/18]]-ElectionsExpenses[[#Totals],[Budget 17/18]]</f>
        <v>-9275</v>
      </c>
      <c r="R25" s="27">
        <f>ElectionsRevenues[[#Totals],[Actual 17/18]]-ElectionsExpenses[[#Totals],[Actual 17/18]]</f>
        <v>-3080.22</v>
      </c>
      <c r="S25" s="27">
        <f>ElectionsRevenues[[#Totals],[Budget 18/19]]-ElectionsExpenses[[#Totals],[Budget 18/19]]</f>
        <v>-6300</v>
      </c>
      <c r="T25" s="27">
        <f>ElectionsRevenues[[#Totals],[Actual 18/19]]-ElectionsExpenses[[#Totals],[Actual 18/19]]</f>
        <v>-8847.18</v>
      </c>
      <c r="U25" s="27">
        <f>ElectionsRevenues[[#Totals],[Budget 19/20]]-ElectionsExpenses[[#Totals],[Budget 19/20]]</f>
        <v>-6800</v>
      </c>
      <c r="V25" s="27"/>
    </row>
    <row r="32" spans="1:22">
      <c r="I32" s="105"/>
      <c r="J32" s="104"/>
      <c r="K32" s="104"/>
      <c r="L32" s="104"/>
      <c r="M32" s="104"/>
      <c r="N32" s="149"/>
    </row>
    <row r="33" spans="9:14">
      <c r="I33" s="105"/>
      <c r="J33" s="104"/>
      <c r="K33" s="104"/>
      <c r="L33" s="104"/>
      <c r="M33" s="104"/>
      <c r="N33" s="149"/>
    </row>
    <row r="60" spans="12:13">
      <c r="L60" s="36"/>
    </row>
    <row r="61" spans="12:13">
      <c r="L61" s="36"/>
      <c r="M61" t="s">
        <v>161</v>
      </c>
    </row>
    <row r="62" spans="12:13">
      <c r="L62" s="36"/>
    </row>
    <row r="63" spans="12:13">
      <c r="L63" s="36"/>
    </row>
    <row r="64" spans="12:13">
      <c r="L64" s="36"/>
    </row>
    <row r="65" spans="12:12">
      <c r="L65" s="36"/>
    </row>
    <row r="66" spans="12:12">
      <c r="L66" s="36"/>
    </row>
    <row r="67" spans="12:12">
      <c r="L67" s="36"/>
    </row>
  </sheetData>
  <mergeCells count="2">
    <mergeCell ref="A1:B1"/>
    <mergeCell ref="A2:B2"/>
  </mergeCells>
  <pageMargins left="0" right="0" top="0.98425196850393704" bottom="0.98425196850393704" header="0.51181102362204722" footer="0.51181102362204722"/>
  <pageSetup orientation="landscape" r:id="rId1"/>
  <headerFooter alignWithMargins="0"/>
  <legacyDrawing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FFFF00"/>
    <pageSetUpPr fitToPage="1"/>
  </sheetPr>
  <dimension ref="A1:W72"/>
  <sheetViews>
    <sheetView showGridLines="0" zoomScale="80" zoomScaleNormal="80" workbookViewId="0">
      <selection activeCell="Z39" sqref="Z39"/>
    </sheetView>
  </sheetViews>
  <sheetFormatPr defaultColWidth="11.42578125" defaultRowHeight="12.75"/>
  <cols>
    <col min="1" max="1" width="57.5703125" style="12" customWidth="1"/>
    <col min="2" max="12" width="15.85546875" style="12" hidden="1" customWidth="1"/>
    <col min="13" max="14" width="14.28515625" style="12" hidden="1" customWidth="1"/>
    <col min="15" max="15" width="12.5703125" style="12" hidden="1" customWidth="1"/>
    <col min="16" max="16" width="14.85546875" style="12" hidden="1" customWidth="1"/>
    <col min="17" max="17" width="13.42578125" style="194" hidden="1" customWidth="1"/>
    <col min="18" max="18" width="13.85546875" style="194" customWidth="1"/>
    <col min="19" max="19" width="12.85546875" style="12" bestFit="1" customWidth="1"/>
    <col min="20" max="20" width="12.5703125" style="12" bestFit="1" customWidth="1"/>
    <col min="21" max="16384" width="11.42578125" style="12"/>
  </cols>
  <sheetData>
    <row r="1" spans="1:23" ht="18">
      <c r="A1" s="88" t="s">
        <v>162</v>
      </c>
      <c r="B1" s="8"/>
      <c r="C1" s="8"/>
      <c r="D1" s="8"/>
      <c r="E1" s="8"/>
      <c r="F1" s="8"/>
      <c r="G1" s="8"/>
      <c r="H1" s="8"/>
      <c r="I1" s="8"/>
      <c r="J1" s="8"/>
      <c r="K1" s="8"/>
      <c r="L1" s="8"/>
    </row>
    <row r="2" spans="1:23">
      <c r="A2" s="28" t="s">
        <v>163</v>
      </c>
      <c r="B2" s="8"/>
      <c r="C2" s="8"/>
      <c r="D2" s="8"/>
      <c r="E2" s="8"/>
      <c r="F2" s="8"/>
      <c r="G2" s="8"/>
      <c r="H2" s="8"/>
      <c r="I2" s="8"/>
      <c r="J2" s="8"/>
      <c r="K2" s="8"/>
      <c r="L2" s="8"/>
    </row>
    <row r="3" spans="1:23">
      <c r="A3" s="8"/>
      <c r="B3" s="8"/>
      <c r="C3" s="8"/>
      <c r="D3" s="8"/>
      <c r="E3" s="8"/>
      <c r="F3" s="8"/>
      <c r="G3" s="8"/>
      <c r="H3" s="8"/>
      <c r="I3" s="8"/>
      <c r="J3" s="8"/>
      <c r="K3" s="8"/>
      <c r="L3" s="8"/>
    </row>
    <row r="4" spans="1:23">
      <c r="A4" s="8" t="s">
        <v>164</v>
      </c>
      <c r="B4" s="8" t="s">
        <v>48</v>
      </c>
      <c r="C4" s="8" t="s">
        <v>49</v>
      </c>
      <c r="D4" s="8" t="s">
        <v>50</v>
      </c>
      <c r="E4" s="8" t="s">
        <v>51</v>
      </c>
      <c r="F4" s="8" t="s">
        <v>52</v>
      </c>
      <c r="G4" s="8" t="s">
        <v>53</v>
      </c>
      <c r="H4" s="8" t="s">
        <v>54</v>
      </c>
      <c r="I4" s="8" t="s">
        <v>55</v>
      </c>
      <c r="J4" s="8" t="s">
        <v>56</v>
      </c>
      <c r="K4" s="8" t="s">
        <v>104</v>
      </c>
      <c r="L4" s="8" t="s">
        <v>29</v>
      </c>
      <c r="M4" s="3" t="s">
        <v>30</v>
      </c>
      <c r="N4" s="3" t="s">
        <v>31</v>
      </c>
      <c r="O4" s="3" t="s">
        <v>32</v>
      </c>
      <c r="P4" s="3" t="s">
        <v>33</v>
      </c>
      <c r="Q4" s="3" t="s">
        <v>34</v>
      </c>
      <c r="R4" s="3" t="s">
        <v>6</v>
      </c>
      <c r="S4" s="3" t="s">
        <v>7</v>
      </c>
      <c r="T4" s="3" t="s">
        <v>8</v>
      </c>
      <c r="U4" s="3" t="s">
        <v>35</v>
      </c>
      <c r="W4" s="12" t="s">
        <v>36</v>
      </c>
    </row>
    <row r="5" spans="1:23">
      <c r="A5" s="8" t="s">
        <v>165</v>
      </c>
      <c r="B5" s="93"/>
      <c r="C5" s="93"/>
      <c r="D5" s="93"/>
      <c r="E5" s="93"/>
      <c r="F5" s="93"/>
      <c r="G5" s="93"/>
      <c r="H5" s="93"/>
      <c r="I5" s="93"/>
      <c r="J5" s="93"/>
      <c r="K5" s="93"/>
      <c r="L5" s="93"/>
      <c r="M5" s="93"/>
      <c r="N5" s="93"/>
      <c r="O5" s="93"/>
      <c r="P5" s="93"/>
      <c r="Q5" s="93"/>
      <c r="R5" s="93">
        <f>VPINRevenues[[#Totals],[Budget 18/19]]</f>
        <v>0</v>
      </c>
      <c r="S5" s="93">
        <f>VPINRevenues[[#Totals],[Actual 18/19]]</f>
        <v>0</v>
      </c>
      <c r="T5" s="93">
        <f>VPINRevenues[[#Totals],[Budget 19/20]]</f>
        <v>0</v>
      </c>
      <c r="U5" s="93"/>
      <c r="W5" s="322" t="e">
        <f>(VPINSummary71[[#This Row],[Budget 19/20]]-VPINSummary71[[#This Row],[Budget 18/19]])/VPINSummary71[[#This Row],[Budget 18/19]]</f>
        <v>#DIV/0!</v>
      </c>
    </row>
    <row r="6" spans="1:23">
      <c r="A6" s="8" t="s">
        <v>166</v>
      </c>
      <c r="B6" s="93"/>
      <c r="C6" s="93"/>
      <c r="D6" s="93"/>
      <c r="E6" s="93"/>
      <c r="F6" s="93"/>
      <c r="G6" s="93"/>
      <c r="H6" s="93"/>
      <c r="I6" s="93"/>
      <c r="J6" s="93"/>
      <c r="K6" s="93"/>
      <c r="L6" s="93"/>
      <c r="M6" s="93"/>
      <c r="N6" s="93"/>
      <c r="O6" s="93"/>
      <c r="P6" s="93"/>
      <c r="Q6" s="93"/>
      <c r="R6" s="93">
        <f>OrientationRevenues64[[#Totals],[Budget 18/19]]</f>
        <v>0</v>
      </c>
      <c r="S6" s="93">
        <f>OrientationRevenues64[[#Totals],[Actual 18/19]]</f>
        <v>0</v>
      </c>
      <c r="T6" s="93">
        <f>OrientationRevenues64[[#Totals],[Budget 19/20]]</f>
        <v>0</v>
      </c>
      <c r="U6" s="93"/>
      <c r="W6" s="322" t="e">
        <f>(VPINSummary71[[#This Row],[Budget 19/20]]-VPINSummary71[[#This Row],[Budget 18/19]])/VPINSummary71[[#This Row],[Budget 18/19]]</f>
        <v>#DIV/0!</v>
      </c>
    </row>
    <row r="7" spans="1:23">
      <c r="A7" s="8" t="s">
        <v>167</v>
      </c>
      <c r="B7" s="93"/>
      <c r="C7" s="93"/>
      <c r="D7" s="93"/>
      <c r="E7" s="93"/>
      <c r="F7" s="93"/>
      <c r="G7" s="93"/>
      <c r="H7" s="93"/>
      <c r="I7" s="93"/>
      <c r="J7" s="93"/>
      <c r="K7" s="93"/>
      <c r="L7" s="93"/>
      <c r="M7" s="93"/>
      <c r="N7" s="93"/>
      <c r="O7" s="93"/>
      <c r="P7" s="93"/>
      <c r="Q7" s="93"/>
      <c r="R7" s="93">
        <f>SocietyRelationsRevenues[[#Totals],[Budget 18/19]]</f>
        <v>0</v>
      </c>
      <c r="S7" s="93">
        <f>SocietyRelationsRevenues[[#Totals],[Budget 19/20]]</f>
        <v>0</v>
      </c>
      <c r="T7" s="93"/>
      <c r="U7" s="93"/>
      <c r="W7" s="322" t="e">
        <f>(VPINSummary71[[#This Row],[Budget 19/20]]-VPINSummary71[[#This Row],[Budget 18/19]])/VPINSummary71[[#This Row],[Budget 18/19]]</f>
        <v>#DIV/0!</v>
      </c>
    </row>
    <row r="8" spans="1:23">
      <c r="A8" s="8" t="s">
        <v>168</v>
      </c>
      <c r="B8" s="93"/>
      <c r="C8" s="93"/>
      <c r="D8" s="93"/>
      <c r="E8" s="93"/>
      <c r="F8" s="93"/>
      <c r="G8" s="93"/>
      <c r="H8" s="93"/>
      <c r="I8" s="93"/>
      <c r="J8" s="93"/>
      <c r="K8" s="93"/>
      <c r="L8" s="93"/>
      <c r="M8" s="93"/>
      <c r="N8" s="93"/>
      <c r="O8" s="93"/>
      <c r="P8" s="93"/>
      <c r="Q8" s="93"/>
      <c r="R8" s="93"/>
      <c r="S8" s="93"/>
      <c r="T8" s="93">
        <f>SocietyRelationsRevenues[[#Totals],[Budget 19/20]]</f>
        <v>0</v>
      </c>
      <c r="U8" s="93"/>
      <c r="W8" s="322">
        <v>1</v>
      </c>
    </row>
    <row r="9" spans="1:23">
      <c r="A9" s="8" t="s">
        <v>169</v>
      </c>
      <c r="B9" s="93"/>
      <c r="C9" s="93"/>
      <c r="D9" s="93"/>
      <c r="E9" s="93"/>
      <c r="F9" s="93"/>
      <c r="G9" s="93"/>
      <c r="H9" s="93"/>
      <c r="I9" s="93"/>
      <c r="J9" s="93"/>
      <c r="K9" s="93"/>
      <c r="L9" s="93"/>
      <c r="M9" s="93"/>
      <c r="N9" s="93"/>
      <c r="O9" s="93"/>
      <c r="P9" s="93"/>
      <c r="Q9" s="93"/>
      <c r="R9" s="93">
        <f>DirectorofCampusLifeRevenues[[#Totals],[Budget 18/19]]</f>
        <v>0</v>
      </c>
      <c r="S9" s="93">
        <f>DirectorofCampusLifeRevenues[[#Totals],[Actual 18/19]]</f>
        <v>0</v>
      </c>
      <c r="T9" s="93">
        <f>DirectorofCampusLifeRevenues[[#Totals],[Budget 18/20]]</f>
        <v>0</v>
      </c>
      <c r="U9" s="93"/>
      <c r="W9" s="322" t="e">
        <f>(VPINSummary71[[#This Row],[Budget 19/20]]-VPINSummary71[[#This Row],[Budget 18/19]])/VPINSummary71[[#This Row],[Budget 18/19]]</f>
        <v>#DIV/0!</v>
      </c>
    </row>
    <row r="10" spans="1:23">
      <c r="A10" s="8" t="s">
        <v>170</v>
      </c>
      <c r="B10" s="93"/>
      <c r="C10" s="93"/>
      <c r="D10" s="93"/>
      <c r="E10" s="93"/>
      <c r="F10" s="93"/>
      <c r="G10" s="93"/>
      <c r="H10" s="93"/>
      <c r="I10" s="93"/>
      <c r="J10" s="93"/>
      <c r="K10" s="93"/>
      <c r="L10" s="93"/>
      <c r="M10" s="93"/>
      <c r="N10" s="93"/>
      <c r="O10" s="93"/>
      <c r="P10" s="93"/>
      <c r="Q10" s="93"/>
      <c r="R10" s="93">
        <f>ServicesManagerRevenues[[#Totals],[Budget 18/19]]</f>
        <v>0</v>
      </c>
      <c r="S10" s="93">
        <f>ServicesManagerRevenues[[#Totals],[Actual 18/19]]</f>
        <v>0</v>
      </c>
      <c r="T10" s="93">
        <f>ServicesManagerRevenues[[#Totals],[Budget 19/20]]</f>
        <v>0</v>
      </c>
      <c r="U10" s="93"/>
      <c r="W10" s="322" t="e">
        <f>(VPINSummary71[[#This Row],[Budget 19/20]]-VPINSummary71[[#This Row],[Budget 18/19]])/VPINSummary71[[#This Row],[Budget 18/19]]</f>
        <v>#DIV/0!</v>
      </c>
    </row>
    <row r="11" spans="1:23">
      <c r="A11" s="8" t="s">
        <v>171</v>
      </c>
      <c r="B11" s="93"/>
      <c r="C11" s="93"/>
      <c r="D11" s="93"/>
      <c r="E11" s="93"/>
      <c r="F11" s="93"/>
      <c r="G11" s="93"/>
      <c r="H11" s="93"/>
      <c r="I11" s="93"/>
      <c r="J11" s="93"/>
      <c r="K11" s="93"/>
      <c r="L11" s="93"/>
      <c r="M11" s="93"/>
      <c r="N11" s="93"/>
      <c r="O11" s="93"/>
      <c r="P11" s="93"/>
      <c r="Q11" s="93"/>
      <c r="R11" s="93">
        <f>ClubsRevenues[[#Totals],[Budget 18/19]]</f>
        <v>1400</v>
      </c>
      <c r="S11" s="93">
        <f>ClubsRevenues[[#Totals],[Actual 18/19]]</f>
        <v>820</v>
      </c>
      <c r="T11" s="93">
        <f>ClubsRevenues[[#Totals],[Budget 19/20]]</f>
        <v>24206.575000000001</v>
      </c>
      <c r="U11" s="93"/>
      <c r="W11" s="322">
        <f>(VPINSummary71[[#This Row],[Budget 19/20]]-VPINSummary71[[#This Row],[Budget 18/19]])/VPINSummary71[[#This Row],[Budget 18/19]]</f>
        <v>16.290410714285716</v>
      </c>
    </row>
    <row r="12" spans="1:23">
      <c r="A12" s="8" t="s">
        <v>172</v>
      </c>
      <c r="B12" s="93"/>
      <c r="C12" s="93"/>
      <c r="D12" s="93"/>
      <c r="E12" s="93"/>
      <c r="F12" s="93"/>
      <c r="G12" s="93"/>
      <c r="H12" s="93"/>
      <c r="I12" s="93"/>
      <c r="J12" s="93"/>
      <c r="K12" s="93"/>
      <c r="L12" s="93"/>
      <c r="M12" s="93"/>
      <c r="N12" s="93"/>
      <c r="O12" s="93"/>
      <c r="P12" s="93"/>
      <c r="Q12" s="93"/>
      <c r="R12" s="93">
        <f>CRTRevenues[[#Totals],[Budget 18/19]]</f>
        <v>1250</v>
      </c>
      <c r="S12" s="93">
        <v>4233.75</v>
      </c>
      <c r="T12" s="93">
        <f>CRTRevenues[[#Totals],[Budget 19/20]]</f>
        <v>800</v>
      </c>
      <c r="U12" s="93"/>
      <c r="W12" s="322">
        <f>(VPINSummary71[[#This Row],[Budget 19/20]]-VPINSummary71[[#This Row],[Budget 18/19]])/VPINSummary71[[#This Row],[Budget 18/19]]</f>
        <v>-0.36</v>
      </c>
    </row>
    <row r="13" spans="1:23">
      <c r="A13" s="8" t="s">
        <v>173</v>
      </c>
      <c r="B13" s="93"/>
      <c r="C13" s="93"/>
      <c r="D13" s="93"/>
      <c r="E13" s="93"/>
      <c r="F13" s="93"/>
      <c r="G13" s="93"/>
      <c r="H13" s="93"/>
      <c r="I13" s="93"/>
      <c r="J13" s="93"/>
      <c r="K13" s="93"/>
      <c r="L13" s="93"/>
      <c r="M13" s="93"/>
      <c r="N13" s="93"/>
      <c r="O13" s="93"/>
      <c r="P13" s="93"/>
      <c r="Q13" s="93"/>
      <c r="R13" s="93">
        <f>FoodbankRevenues[[#Totals],[Budget 18/19]]</f>
        <v>500</v>
      </c>
      <c r="S13" s="93">
        <v>1067.8</v>
      </c>
      <c r="T13" s="93">
        <f>FoodbankRevenues[[#Totals],[Budget 19/20]]</f>
        <v>500</v>
      </c>
      <c r="U13" s="93"/>
      <c r="W13" s="322">
        <f>(VPINSummary71[[#This Row],[Budget 19/20]]-VPINSummary71[[#This Row],[Budget 18/19]])/VPINSummary71[[#This Row],[Budget 18/19]]</f>
        <v>0</v>
      </c>
    </row>
    <row r="14" spans="1:23">
      <c r="A14" s="8" t="s">
        <v>174</v>
      </c>
      <c r="B14" s="93"/>
      <c r="C14" s="93"/>
      <c r="D14" s="93"/>
      <c r="E14" s="93"/>
      <c r="F14" s="93"/>
      <c r="G14" s="93"/>
      <c r="H14" s="93"/>
      <c r="I14" s="93"/>
      <c r="J14" s="93"/>
      <c r="K14" s="93"/>
      <c r="L14" s="93"/>
      <c r="M14" s="93"/>
      <c r="N14" s="93"/>
      <c r="O14" s="93"/>
      <c r="P14" s="93"/>
      <c r="Q14" s="93"/>
      <c r="R14" s="93">
        <f>GlowRevenues[[#Totals],[Budget 18/19]]</f>
        <v>400</v>
      </c>
      <c r="S14" s="93">
        <v>1200</v>
      </c>
      <c r="T14" s="93">
        <f>GlowRevenues[[#Totals],[Budget 19/20]]</f>
        <v>400</v>
      </c>
      <c r="U14" s="93"/>
      <c r="W14" s="322">
        <f>(VPINSummary71[[#This Row],[Budget 19/20]]-VPINSummary71[[#This Row],[Budget 18/19]])/VPINSummary71[[#This Row],[Budget 18/19]]</f>
        <v>0</v>
      </c>
    </row>
    <row r="15" spans="1:23">
      <c r="A15" s="8" t="s">
        <v>175</v>
      </c>
      <c r="B15" s="93"/>
      <c r="C15" s="93"/>
      <c r="D15" s="93"/>
      <c r="E15" s="93"/>
      <c r="F15" s="93"/>
      <c r="G15" s="93"/>
      <c r="H15" s="93"/>
      <c r="I15" s="93"/>
      <c r="J15" s="93"/>
      <c r="K15" s="93"/>
      <c r="L15" s="93"/>
      <c r="M15" s="93"/>
      <c r="N15" s="93"/>
      <c r="O15" s="93"/>
      <c r="P15" s="93"/>
      <c r="Q15" s="93"/>
      <c r="R15" s="93">
        <f>SCIRevenues[[#Totals],[Budget 18/19]]</f>
        <v>3000</v>
      </c>
      <c r="S15" s="93">
        <v>5116.09</v>
      </c>
      <c r="T15" s="93">
        <f>SCIRevenues[[#Totals],[Budget 19/20]]</f>
        <v>1000</v>
      </c>
      <c r="U15" s="93"/>
      <c r="W15" s="322">
        <f>(VPINSummary71[[#This Row],[Budget 19/20]]-VPINSummary71[[#This Row],[Budget 18/19]])/VPINSummary71[[#This Row],[Budget 18/19]]</f>
        <v>-0.66666666666666663</v>
      </c>
    </row>
    <row r="16" spans="1:23">
      <c r="A16" s="8" t="s">
        <v>176</v>
      </c>
      <c r="B16" s="93"/>
      <c r="C16" s="93"/>
      <c r="D16" s="93"/>
      <c r="E16" s="93"/>
      <c r="F16" s="93"/>
      <c r="G16" s="93"/>
      <c r="H16" s="93"/>
      <c r="I16" s="93"/>
      <c r="J16" s="93"/>
      <c r="K16" s="93"/>
      <c r="L16" s="93"/>
      <c r="M16" s="93"/>
      <c r="N16" s="93"/>
      <c r="O16" s="93"/>
      <c r="P16" s="93"/>
      <c r="Q16" s="93"/>
      <c r="R16" s="93">
        <f>OCCRevenues[[#Totals],[Budget 18/19]]</f>
        <v>600</v>
      </c>
      <c r="S16" s="93">
        <v>13.88</v>
      </c>
      <c r="T16" s="93">
        <f>OCCRevenues[[#Totals],[Budget 19/20]]</f>
        <v>1000</v>
      </c>
      <c r="U16" s="93"/>
      <c r="W16" s="322">
        <f>(VPINSummary71[[#This Row],[Budget 19/20]]-VPINSummary71[[#This Row],[Budget 18/19]])/VPINSummary71[[#This Row],[Budget 18/19]]</f>
        <v>0.66666666666666663</v>
      </c>
    </row>
    <row r="17" spans="1:23">
      <c r="A17" s="8" t="s">
        <v>177</v>
      </c>
      <c r="B17" s="93"/>
      <c r="C17" s="93"/>
      <c r="D17" s="93"/>
      <c r="E17" s="93"/>
      <c r="F17" s="93"/>
      <c r="G17" s="93"/>
      <c r="H17" s="93"/>
      <c r="I17" s="93"/>
      <c r="J17" s="93"/>
      <c r="K17" s="93"/>
      <c r="L17" s="93"/>
      <c r="M17" s="93"/>
      <c r="N17" s="93"/>
      <c r="O17" s="93"/>
      <c r="P17" s="93"/>
      <c r="Q17" s="93"/>
      <c r="R17" s="93">
        <f>WomensCentreRevenues[[#Totals],[Budget 18/19]]</f>
        <v>0</v>
      </c>
      <c r="S17" s="93">
        <v>0</v>
      </c>
      <c r="T17" s="93">
        <f>WomensCentreRevenues[[#Totals],[Budget 19/20]]</f>
        <v>0</v>
      </c>
      <c r="U17" s="93"/>
      <c r="W17" s="322" t="e">
        <f>(VPINSummary71[[#This Row],[Budget 19/20]]-VPINSummary71[[#This Row],[Budget 18/19]])/VPINSummary71[[#This Row],[Budget 18/19]]</f>
        <v>#DIV/0!</v>
      </c>
    </row>
    <row r="18" spans="1:23">
      <c r="A18" s="8" t="s">
        <v>178</v>
      </c>
      <c r="B18" s="93"/>
      <c r="C18" s="93"/>
      <c r="D18" s="93"/>
      <c r="E18" s="93"/>
      <c r="F18" s="93"/>
      <c r="G18" s="93"/>
      <c r="H18" s="93"/>
      <c r="I18" s="93"/>
      <c r="J18" s="93"/>
      <c r="K18" s="93"/>
      <c r="L18" s="93"/>
      <c r="M18" s="93"/>
      <c r="N18" s="93"/>
      <c r="O18" s="93"/>
      <c r="P18" s="93"/>
      <c r="Q18" s="93"/>
      <c r="R18" s="93">
        <f>BikeCentreRevenues[[#Totals],[Budget 18/19]]</f>
        <v>11000</v>
      </c>
      <c r="S18" s="93">
        <v>15953.13</v>
      </c>
      <c r="T18" s="93">
        <f>BikeCentreRevenues[[#Totals],[Budget 19/20]]</f>
        <v>12500</v>
      </c>
      <c r="U18" s="93"/>
      <c r="W18" s="322">
        <f>(VPINSummary71[[#This Row],[Budget 19/20]]-VPINSummary71[[#This Row],[Budget 18/19]])/VPINSummary71[[#This Row],[Budget 18/19]]</f>
        <v>0.13636363636363635</v>
      </c>
    </row>
    <row r="19" spans="1:23">
      <c r="A19" s="8" t="s">
        <v>179</v>
      </c>
      <c r="B19" s="93"/>
      <c r="C19" s="93"/>
      <c r="D19" s="93"/>
      <c r="E19" s="93"/>
      <c r="F19" s="93"/>
      <c r="G19" s="93"/>
      <c r="H19" s="93"/>
      <c r="I19" s="93"/>
      <c r="J19" s="93"/>
      <c r="K19" s="93"/>
      <c r="L19" s="93"/>
      <c r="M19" s="93"/>
      <c r="N19" s="93"/>
      <c r="O19" s="93"/>
      <c r="P19" s="93"/>
      <c r="Q19" s="93"/>
      <c r="R19" s="93">
        <f>'ICSN (24700)'!K20</f>
        <v>2000</v>
      </c>
      <c r="S19" s="93">
        <v>22819.919999999998</v>
      </c>
      <c r="T19" s="93">
        <f>'ICSN (24700)'!L20</f>
        <v>2000</v>
      </c>
      <c r="U19" s="93"/>
      <c r="W19" s="322">
        <f>(VPINSummary71[[#This Row],[Budget 19/20]]-VPINSummary71[[#This Row],[Budget 18/19]])/VPINSummary71[[#This Row],[Budget 18/19]]</f>
        <v>0</v>
      </c>
    </row>
    <row r="20" spans="1:23">
      <c r="A20" s="8" t="s">
        <v>180</v>
      </c>
      <c r="B20" s="93"/>
      <c r="C20" s="93"/>
      <c r="D20" s="93"/>
      <c r="E20" s="93"/>
      <c r="F20" s="93"/>
      <c r="G20" s="93"/>
      <c r="H20" s="93"/>
      <c r="I20" s="93"/>
      <c r="J20" s="93"/>
      <c r="K20" s="93"/>
      <c r="L20" s="93"/>
      <c r="M20" s="93"/>
      <c r="N20" s="93"/>
      <c r="O20" s="93"/>
      <c r="P20" s="93"/>
      <c r="Q20" s="93"/>
      <c r="R20" s="93">
        <f>CoopConnectionRevenues[[#Totals],[Budget 18/19]]</f>
        <v>7500</v>
      </c>
      <c r="S20" s="93">
        <v>10513.41</v>
      </c>
      <c r="T20" s="93">
        <f>CoopConnectionRevenues[[#Totals],[Budget 19/20]]</f>
        <v>9000</v>
      </c>
      <c r="U20" s="93"/>
      <c r="W20" s="322">
        <f>(VPINSummary71[[#This Row],[Budget 19/20]]-VPINSummary71[[#This Row],[Budget 18/19]])/VPINSummary71[[#This Row],[Budget 18/19]]</f>
        <v>0.2</v>
      </c>
    </row>
    <row r="21" spans="1:23">
      <c r="A21" s="8" t="s">
        <v>181</v>
      </c>
      <c r="B21" s="93"/>
      <c r="C21" s="93"/>
      <c r="D21" s="93"/>
      <c r="E21" s="93"/>
      <c r="F21" s="93"/>
      <c r="G21" s="93"/>
      <c r="H21" s="93"/>
      <c r="I21" s="93"/>
      <c r="J21" s="93"/>
      <c r="K21" s="93"/>
      <c r="L21" s="93"/>
      <c r="M21" s="93"/>
      <c r="N21" s="93"/>
      <c r="O21" s="93"/>
      <c r="P21" s="93"/>
      <c r="Q21" s="93"/>
      <c r="R21" s="93">
        <f>VolunteerCentreRevenues[[#Totals],[Budge 18/19]]</f>
        <v>0</v>
      </c>
      <c r="S21" s="93">
        <v>0</v>
      </c>
      <c r="T21" s="93">
        <f>VolunteerCentreRevenues[[#Totals],[Budge 19/20]]</f>
        <v>0</v>
      </c>
      <c r="U21" s="93"/>
      <c r="W21" s="322" t="e">
        <f>(VPINSummary71[[#This Row],[Budget 19/20]]-VPINSummary71[[#This Row],[Budget 18/19]])/VPINSummary71[[#This Row],[Budget 18/19]]</f>
        <v>#DIV/0!</v>
      </c>
    </row>
    <row r="22" spans="1:23">
      <c r="A22" s="8" t="s">
        <v>182</v>
      </c>
      <c r="B22" s="93"/>
      <c r="C22" s="93"/>
      <c r="D22" s="93"/>
      <c r="E22" s="93"/>
      <c r="F22" s="93"/>
      <c r="G22" s="93"/>
      <c r="H22" s="93"/>
      <c r="I22" s="93"/>
      <c r="J22" s="93"/>
      <c r="K22" s="93"/>
      <c r="L22" s="93"/>
      <c r="M22" s="93"/>
      <c r="N22" s="93"/>
      <c r="O22" s="93"/>
      <c r="P22" s="93"/>
      <c r="Q22" s="93"/>
      <c r="R22" s="93">
        <f>MatesRevenues[[#Totals],[Budget 18/19]]</f>
        <v>0</v>
      </c>
      <c r="S22" s="93">
        <v>0</v>
      </c>
      <c r="T22" s="93">
        <f>MatesRevenues[[#Totals],[Budget 19/20]]</f>
        <v>0</v>
      </c>
      <c r="U22" s="93"/>
      <c r="W22" s="322" t="e">
        <f>(VPINSummary71[[#This Row],[Budget 19/20]]-VPINSummary71[[#This Row],[Budget 18/19]])/VPINSummary71[[#This Row],[Budget 18/19]]</f>
        <v>#DIV/0!</v>
      </c>
    </row>
    <row r="23" spans="1:23">
      <c r="A23" s="8" t="s">
        <v>183</v>
      </c>
      <c r="B23" s="93"/>
      <c r="C23" s="93"/>
      <c r="D23" s="93"/>
      <c r="E23" s="93"/>
      <c r="F23" s="93"/>
      <c r="G23" s="93"/>
      <c r="H23" s="93"/>
      <c r="I23" s="93"/>
      <c r="J23" s="93"/>
      <c r="K23" s="93"/>
      <c r="L23" s="93"/>
      <c r="M23" s="93"/>
      <c r="N23" s="93"/>
      <c r="O23" s="93"/>
      <c r="P23" s="93"/>
      <c r="Q23" s="93"/>
      <c r="R23" s="93">
        <f>MatesRevenues3[[#Totals],[Budget 18/19]]</f>
        <v>0</v>
      </c>
      <c r="S23" s="93">
        <f>MatesRevenues3[[#Totals],[Actual 18/19]]</f>
        <v>0</v>
      </c>
      <c r="T23" s="93">
        <f>MatesRevenues3[[#Totals],[Budget 19/20]]</f>
        <v>3000</v>
      </c>
      <c r="U23" s="93"/>
      <c r="W23" s="322" t="e">
        <f>(VPINSummary71[[#This Row],[Budget 19/20]]-VPINSummary71[[#This Row],[Budget 18/19]])/VPINSummary71[[#This Row],[Budget 18/19]]</f>
        <v>#DIV/0!</v>
      </c>
    </row>
    <row r="24" spans="1:23" hidden="1">
      <c r="A24" s="222"/>
      <c r="B24" s="325"/>
      <c r="C24" s="325"/>
      <c r="D24" s="325"/>
      <c r="E24" s="325"/>
      <c r="F24" s="325"/>
      <c r="G24" s="325"/>
      <c r="H24" s="325"/>
      <c r="I24" s="325"/>
      <c r="J24" s="325"/>
      <c r="K24" s="325"/>
      <c r="L24" s="325"/>
      <c r="M24" s="325"/>
      <c r="N24" s="325"/>
      <c r="O24" s="325"/>
      <c r="P24" s="325"/>
      <c r="Q24" s="325"/>
      <c r="R24" s="325"/>
      <c r="S24" s="325"/>
      <c r="T24" s="325"/>
      <c r="U24" s="93"/>
      <c r="W24" s="322" t="e">
        <f>(VPINSummary71[[#This Row],[Budget 19/20]]-VPINSummary71[[#This Row],[Budget 18/19]])/VPINSummary71[[#This Row],[Budget 18/19]]</f>
        <v>#DIV/0!</v>
      </c>
    </row>
    <row r="25" spans="1:23" ht="13.5" thickBot="1">
      <c r="A25" s="8" t="s">
        <v>184</v>
      </c>
      <c r="B25" s="93"/>
      <c r="C25" s="93"/>
      <c r="D25" s="93"/>
      <c r="E25" s="93"/>
      <c r="F25" s="93"/>
      <c r="G25" s="93"/>
      <c r="H25" s="93"/>
      <c r="I25" s="93"/>
      <c r="J25" s="93"/>
      <c r="K25" s="93"/>
      <c r="L25" s="93"/>
      <c r="M25" s="93"/>
      <c r="N25" s="93"/>
      <c r="O25" s="93"/>
      <c r="P25" s="93"/>
      <c r="Q25" s="93"/>
      <c r="R25" s="93">
        <f>SpecialEventsRevenues[[#Totals],[Budget 18/19]]</f>
        <v>25000</v>
      </c>
      <c r="S25" s="93">
        <f>SpecialEventsRevenues[[#Totals],[Actual 18/19]]</f>
        <v>20247.93</v>
      </c>
      <c r="T25" s="93">
        <f>SpecialEventsRevenues[[#Totals],[Budget 19/20]]</f>
        <v>23000</v>
      </c>
      <c r="U25" s="93"/>
      <c r="W25" s="322">
        <f>(VPINSummary71[[#This Row],[Budget 19/20]]-VPINSummary71[[#This Row],[Budget 18/19]])/VPINSummary71[[#This Row],[Budget 18/19]]</f>
        <v>-0.08</v>
      </c>
    </row>
    <row r="26" spans="1:23" ht="13.5" thickBot="1">
      <c r="A26" s="426" t="s">
        <v>13</v>
      </c>
      <c r="B26" s="425"/>
      <c r="C26" s="425"/>
      <c r="D26" s="425"/>
      <c r="E26" s="425"/>
      <c r="F26" s="425"/>
      <c r="G26" s="425"/>
      <c r="H26" s="425"/>
      <c r="I26" s="425"/>
      <c r="J26" s="425"/>
      <c r="K26" s="425"/>
      <c r="L26" s="425"/>
      <c r="M26" s="425"/>
      <c r="N26" s="425"/>
      <c r="O26" s="425"/>
      <c r="P26" s="425"/>
      <c r="Q26" s="425"/>
      <c r="R26" s="425">
        <f>SUBTOTAL(109,VPINSummary71[Budget 18/19])</f>
        <v>52650</v>
      </c>
      <c r="S26" s="425">
        <f>SUBTOTAL(109,VPINSummary71[Actual 18/19])</f>
        <v>81985.91</v>
      </c>
      <c r="T26" s="427">
        <f>SUBTOTAL(109,VPINSummary71[Budget 19/20])</f>
        <v>77406.574999999997</v>
      </c>
      <c r="U26" s="428"/>
      <c r="W26" s="322">
        <f>(VPINSummary71[[#Totals],[Budget 19/20]]-VPINSummary71[[#Totals],[Budget 18/19]])/VPINSummary71[[#Totals],[Budget 18/19]]</f>
        <v>0.470210351377018</v>
      </c>
    </row>
    <row r="27" spans="1:23">
      <c r="L27" s="12" t="e">
        <f>#REF!+VPINSummary[[#Totals],[Budget 14/15]]</f>
        <v>#REF!</v>
      </c>
      <c r="V27" s="322"/>
    </row>
    <row r="28" spans="1:23">
      <c r="A28" s="8" t="s">
        <v>42</v>
      </c>
      <c r="B28" s="8" t="s">
        <v>48</v>
      </c>
      <c r="C28" s="8" t="s">
        <v>49</v>
      </c>
      <c r="D28" s="8" t="s">
        <v>50</v>
      </c>
      <c r="E28" s="8" t="s">
        <v>51</v>
      </c>
      <c r="F28" s="8" t="s">
        <v>52</v>
      </c>
      <c r="G28" s="8" t="s">
        <v>53</v>
      </c>
      <c r="H28" s="8" t="s">
        <v>54</v>
      </c>
      <c r="I28" s="8" t="s">
        <v>55</v>
      </c>
      <c r="J28" s="8" t="s">
        <v>56</v>
      </c>
      <c r="K28" s="8" t="s">
        <v>104</v>
      </c>
      <c r="L28" s="8" t="s">
        <v>29</v>
      </c>
      <c r="M28" s="3" t="s">
        <v>30</v>
      </c>
      <c r="N28" s="3" t="s">
        <v>31</v>
      </c>
      <c r="O28" s="3" t="s">
        <v>32</v>
      </c>
      <c r="P28" s="3" t="s">
        <v>33</v>
      </c>
      <c r="Q28" s="3" t="s">
        <v>34</v>
      </c>
      <c r="R28" s="3" t="s">
        <v>6</v>
      </c>
      <c r="S28" s="3" t="s">
        <v>7</v>
      </c>
      <c r="T28" s="3" t="s">
        <v>8</v>
      </c>
      <c r="U28" s="3" t="s">
        <v>35</v>
      </c>
      <c r="W28" s="12" t="s">
        <v>36</v>
      </c>
    </row>
    <row r="29" spans="1:23">
      <c r="A29" s="8" t="s">
        <v>165</v>
      </c>
      <c r="B29" s="93">
        <f>VPINRevenues[[#Totals],[Budget 10/11]]-VPINExpenses[[#Totals],[Budget 10/11]]</f>
        <v>-62940.18</v>
      </c>
      <c r="C29" s="93">
        <f>VPINRevenues[[#Totals],[Actual 10/11]]-VPINExpenses[[#Totals],[Actual 10/11]]</f>
        <v>-63521.700000000012</v>
      </c>
      <c r="D29" s="93">
        <f>VPINRevenues[[#Totals],[Budget 11/12]]-VPINExpenses[[#Totals],[Budget 11/12]]</f>
        <v>-101874.6</v>
      </c>
      <c r="E29" s="93">
        <f>VPINRevenues[[#Totals],[Actual 11/12]]-VPINExpenses[[#Totals],[Actual 11/12]]</f>
        <v>-76824.290000000008</v>
      </c>
      <c r="F29" s="93">
        <f>VPINRevenues[[#Totals],[Budget 12/13]]-VPINExpenses[[#Totals],[Budget 12/13]]</f>
        <v>-106844.47</v>
      </c>
      <c r="G29" s="93">
        <f>VPINRevenues[[#Totals],[Actual 12/13]]-VPINExpenses[[#Totals],[Actual 12/13]]</f>
        <v>-76171.900000000009</v>
      </c>
      <c r="H29" s="93">
        <f>VPINRevenues[[#Totals],[Budget 13/14]]-VPINExpenses[[#Totals],[Budget 13/14]]</f>
        <v>-77566</v>
      </c>
      <c r="I29" s="93">
        <f>VPINRevenues[[#Totals],[Actual 13/14]]-VPINExpenses[[#Totals],[Actual 13/14]]</f>
        <v>-77179.749999999985</v>
      </c>
      <c r="J29" s="93">
        <f>VPINRevenues[[#Totals],[Budget 14/15]]-VPINExpenses[[#Totals],[Budget 14/15]]</f>
        <v>-89293.64</v>
      </c>
      <c r="K29" s="93">
        <f>VPINRevenues[[#Totals],[Actual 14/15]]-VPINExpenses[[#Totals],[Actual 14/15]]</f>
        <v>-81803.26999999999</v>
      </c>
      <c r="L29" s="93">
        <f>VPINRevenues[[#Totals],[Budget 15/16]]-VPINExpenses[[#Totals],[Budget 15/16]]</f>
        <v>-85162.760000000009</v>
      </c>
      <c r="M29" s="93">
        <f>VPINRevenues[[#Totals],[Actual 15/16]]-VPINExpenses[[#Totals],[Actual 15/16]]</f>
        <v>-83046.16</v>
      </c>
      <c r="N29" s="93">
        <f>VPINRevenues[[#Totals],[Budget 16/17]]-VPINExpenses[[#Totals],[Budget 16/17]]</f>
        <v>-84358.75</v>
      </c>
      <c r="O29" s="93">
        <f>VPINRevenues[[#Totals],[Actual 16/17]]-VPINExpenses[[#Totals],[Actual 16/17]]</f>
        <v>-85222.389999999985</v>
      </c>
      <c r="P29" s="93">
        <f>VPINRevenues[[#Totals],[Budget 17/18]]-VPINExpenses[[#Totals],[Budget 17/18]]</f>
        <v>-87681.180000000022</v>
      </c>
      <c r="Q29" s="93">
        <f>VPINRevenues[[#Totals],[Actual 17/18]]-VPINExpenses[[#Totals],[Actual 17/18]]</f>
        <v>-76990.060000000012</v>
      </c>
      <c r="R29" s="93">
        <f>VPINExpenses[[#Totals],[Budget 18/19]]</f>
        <v>86293.680000000008</v>
      </c>
      <c r="S29" s="93">
        <f>VPINExpenses[[#Totals],[Actual 18/19]]</f>
        <v>75980.340000000026</v>
      </c>
      <c r="T29" s="93">
        <f>VPINExpenses[[#Totals],[Budget 19/20]]</f>
        <v>79640.592839999998</v>
      </c>
      <c r="U29" s="93"/>
      <c r="W29" s="322">
        <f>(VPINSummary[[#This Row],[Budget 19/20]]-VPINSummary[[#This Row],[Budget 18/19]])/VPINSummary[[#This Row],[Budget 18/19]]</f>
        <v>-7.7098197226031034E-2</v>
      </c>
    </row>
    <row r="30" spans="1:23">
      <c r="A30" s="8" t="s">
        <v>166</v>
      </c>
      <c r="B30" s="93"/>
      <c r="C30" s="93"/>
      <c r="D30" s="93"/>
      <c r="E30" s="93"/>
      <c r="F30" s="93"/>
      <c r="G30" s="93"/>
      <c r="H30" s="93"/>
      <c r="I30" s="93"/>
      <c r="J30" s="93"/>
      <c r="K30" s="93"/>
      <c r="L30" s="93"/>
      <c r="M30" s="93"/>
      <c r="N30" s="93"/>
      <c r="O30" s="93"/>
      <c r="P30" s="93">
        <f>'Orientation (32101)'!Q25</f>
        <v>-11743.8</v>
      </c>
      <c r="Q30" s="93">
        <f>'Orientation (32101)'!R25</f>
        <v>-6918.8600000000006</v>
      </c>
      <c r="R30" s="93">
        <f>OrientationExpenses65[[#Totals],[Budget 18/19]]</f>
        <v>1490</v>
      </c>
      <c r="S30" s="93">
        <f>OrientationExpenses65[[#Totals],[Actual 18/19]]</f>
        <v>1847.1699999999998</v>
      </c>
      <c r="T30" s="93">
        <f>OrientationExpenses65[[#Totals],[Budget 19/20]]</f>
        <v>1490</v>
      </c>
      <c r="U30" s="93"/>
      <c r="W30" s="322">
        <f>(VPINSummary[[#This Row],[Budget 19/20]]-VPINSummary[[#This Row],[Budget 18/19]])/VPINSummary[[#This Row],[Budget 18/19]]</f>
        <v>0</v>
      </c>
    </row>
    <row r="31" spans="1:23">
      <c r="A31" s="8" t="s">
        <v>167</v>
      </c>
      <c r="B31" s="93"/>
      <c r="C31" s="93"/>
      <c r="D31" s="93"/>
      <c r="E31" s="93"/>
      <c r="F31" s="93"/>
      <c r="G31" s="93"/>
      <c r="H31" s="93"/>
      <c r="I31" s="93"/>
      <c r="J31" s="93"/>
      <c r="K31" s="93"/>
      <c r="L31" s="93"/>
      <c r="M31" s="93"/>
      <c r="N31" s="93"/>
      <c r="O31" s="93"/>
      <c r="P31" s="93">
        <f>'Equity Commissioner (20200)'!G17</f>
        <v>-3500</v>
      </c>
      <c r="Q31" s="93">
        <f>'Equity Commissioner (20200)'!H17</f>
        <v>-1962.5700000000002</v>
      </c>
      <c r="R31" s="93">
        <f>'Equity Commissioner (20200)'!I15</f>
        <v>2300</v>
      </c>
      <c r="S31" s="93"/>
      <c r="T31" s="93"/>
      <c r="U31" s="93"/>
      <c r="W31" s="322">
        <f>(VPINSummary[[#This Row],[Budget 19/20]]-VPINSummary[[#This Row],[Budget 18/19]])/VPINSummary[[#This Row],[Budget 18/19]]</f>
        <v>-1</v>
      </c>
    </row>
    <row r="32" spans="1:23">
      <c r="A32" s="8" t="s">
        <v>168</v>
      </c>
      <c r="B32" s="93"/>
      <c r="C32" s="93"/>
      <c r="D32" s="93"/>
      <c r="E32" s="93"/>
      <c r="F32" s="93"/>
      <c r="G32" s="93"/>
      <c r="H32" s="93"/>
      <c r="I32" s="93"/>
      <c r="J32" s="93"/>
      <c r="K32" s="93"/>
      <c r="L32" s="93"/>
      <c r="M32" s="93"/>
      <c r="N32" s="93"/>
      <c r="O32" s="93"/>
      <c r="P32" s="93"/>
      <c r="Q32" s="93"/>
      <c r="R32" s="93"/>
      <c r="S32" s="93"/>
      <c r="T32" s="93">
        <f>'Equity Commissioner (20200)'!J15</f>
        <v>7600</v>
      </c>
      <c r="U32" s="93"/>
      <c r="W32" s="322">
        <v>1</v>
      </c>
    </row>
    <row r="33" spans="1:23">
      <c r="A33" s="8" t="s">
        <v>169</v>
      </c>
      <c r="B33" s="93">
        <v>0</v>
      </c>
      <c r="C33" s="93">
        <v>0</v>
      </c>
      <c r="D33" s="93">
        <v>0</v>
      </c>
      <c r="E33" s="93">
        <v>0</v>
      </c>
      <c r="F33" s="93">
        <v>0</v>
      </c>
      <c r="G33" s="93">
        <v>0</v>
      </c>
      <c r="H33" s="93">
        <f>DirectorofCampusLifeRevenues[[#Totals],[Budget 13/14]]-DirectorofCampusLifeExpenses[[#Totals],[Budget 13/14]]</f>
        <v>-10980</v>
      </c>
      <c r="I33" s="93">
        <f>DirectorofCampusLifeRevenues[[#Totals],[Actual 13/14]]-DirectorofCampusLifeExpenses[[#Totals],[Actual 13/14]]</f>
        <v>-4608.07</v>
      </c>
      <c r="J33" s="93">
        <f>DirectorofCampusLifeRevenues[[#Totals],[Budget 14/15]]-DirectorofCampusLifeExpenses[[#Totals],[Budget 14/15]]</f>
        <v>-6205</v>
      </c>
      <c r="K33" s="93">
        <f>DirectorofCampusLifeRevenues[[#Totals],[Actual 14/15]]-DirectorofCampusLifeExpenses[[#Totals],[Actual 14/15]]</f>
        <v>-5617.79</v>
      </c>
      <c r="L33" s="93">
        <f>DirectorofCampusLifeRevenues[[#Totals],[Budget 15/16]]-DirectorofCampusLifeExpenses[[#Totals],[Budget 15/16]]</f>
        <v>-4705</v>
      </c>
      <c r="M33" s="93">
        <f>DirectorofCampusLifeRevenues[[#Totals],[Actual 15/16]]-DirectorofCampusLifeExpenses[[#Totals],[Actual 15/16]]</f>
        <v>-1231.8300000000002</v>
      </c>
      <c r="N33" s="93">
        <f>DirectorofCampusLifeRevenues[[#Totals],[Budget 16/17]]-DirectorofCampusLifeExpenses[[#Totals],[Budget 16/17]]</f>
        <v>-4600</v>
      </c>
      <c r="O33" s="93">
        <f>DirectorofCampusLifeRevenues[[#Totals],[Actual 16/17]]-DirectorofCampusLifeExpenses[[#Totals],[Actual 16/17]]</f>
        <v>-5217.7800000000007</v>
      </c>
      <c r="P33" s="93">
        <f>DirectorofCampusLifeRevenues[[#Totals],[Budget 17/18]]-DirectorofCampusLifeExpenses[[#Totals],[Budget 17/18]]</f>
        <v>-12850</v>
      </c>
      <c r="Q33" s="93">
        <f>DirectorofCampusLifeRevenues[[#Totals],[Actual 17/18]]-DirectorofCampusLifeExpenses[[#Totals],[Actual 17/18]]</f>
        <v>-9256.4900000000016</v>
      </c>
      <c r="R33" s="93">
        <f>DirectorofCampusLifeExpenses[[#Totals],[Budget 18/19]]</f>
        <v>6300</v>
      </c>
      <c r="S33" s="93">
        <f>DirectorofCampusLifeExpenses[[#Totals],[Actual 18/19]]</f>
        <v>5034.3799999999992</v>
      </c>
      <c r="T33" s="93">
        <f>DirectorofCampusLifeExpenses[[#Totals],[Budget 19/20]]</f>
        <v>8600</v>
      </c>
      <c r="U33" s="93"/>
      <c r="W33" s="322">
        <f>(VPINSummary[[#This Row],[Budget 19/20]]-VPINSummary[[#This Row],[Budget 18/19]])/VPINSummary[[#This Row],[Budget 18/19]]</f>
        <v>0.36507936507936506</v>
      </c>
    </row>
    <row r="34" spans="1:23">
      <c r="A34" s="8" t="s">
        <v>170</v>
      </c>
      <c r="B34" s="93">
        <v>0</v>
      </c>
      <c r="C34" s="93">
        <v>0</v>
      </c>
      <c r="D34" s="93">
        <v>0</v>
      </c>
      <c r="E34" s="93">
        <v>0</v>
      </c>
      <c r="F34" s="93">
        <v>0</v>
      </c>
      <c r="G34" s="93">
        <v>0</v>
      </c>
      <c r="H34" s="93">
        <f>ServicesManagerRevenues[[#Totals],[Budget 13/14]]-ServicesManagerExpenses[[#Totals],[Budget 13/14]]</f>
        <v>-13795</v>
      </c>
      <c r="I34" s="93">
        <f>ServicesManagerRevenues[[#Totals],[Actual 13/14]]-ServicesManagerExpenses[[#Totals],[Actual 13/14]]</f>
        <v>-8373.9000000000015</v>
      </c>
      <c r="J34" s="93">
        <f>ServicesManagerRevenues[[#Totals],[Budget 14/15]]-ServicesManagerExpenses[[#Totals],[Budget 14/15]]</f>
        <v>-13035</v>
      </c>
      <c r="K34" s="93">
        <f>ServicesManagerRevenues[[#Totals],[Actual 14/15]]-ServicesManagerExpenses[[#Totals],[Actual 14/15]]</f>
        <v>-15300.630000000001</v>
      </c>
      <c r="L34" s="93">
        <f>ServicesManagerRevenues[[#Totals],[Budget 15/16]]-ServicesManagerExpenses[[#Totals],[Budget 15/16]]</f>
        <v>-20230</v>
      </c>
      <c r="M34" s="93">
        <f>ServicesManagerRevenues[[#Totals],[Actual 15/16]]-ServicesManagerExpenses[[#Totals],[Actual 15/16]]</f>
        <v>-13623.35</v>
      </c>
      <c r="N34" s="93">
        <f>ServicesManagerRevenues[[#Totals],[Budget 16/17]]-ServicesManagerExpenses[[#Totals],[Budget 16/17]]</f>
        <v>-32150</v>
      </c>
      <c r="O34" s="93">
        <f>ServicesManagerRevenues[[#Totals],[Actual 16/17]]-ServicesManagerExpenses[[#Totals],[Actual 16/17]]</f>
        <v>-27392.62</v>
      </c>
      <c r="P34" s="93">
        <f>ServicesManagerRevenues[[#Totals],[Budget 17/18]]-ServicesManagerExpenses[[#Totals],[Budget 17/18]]</f>
        <v>-36410</v>
      </c>
      <c r="Q34" s="93">
        <f>ServicesManagerRevenues[[#Totals],[Actual 17/18]]-ServicesManagerExpenses[[#Totals],[Actual 17/18]]</f>
        <v>-35437.359999999993</v>
      </c>
      <c r="R34" s="93">
        <f>ServicesManagerExpenses[[#Totals],[Budget 18/19]]</f>
        <v>45075</v>
      </c>
      <c r="S34" s="93">
        <f>ServicesManagerExpenses[[#Totals],[Actual 18/19]]</f>
        <v>40583.540000000008</v>
      </c>
      <c r="T34" s="93">
        <f>ServicesManagerExpenses[[#Totals],[Budget 19/20]]</f>
        <v>47271.4</v>
      </c>
      <c r="U34" s="93"/>
      <c r="W34" s="322">
        <f>(VPINSummary[[#This Row],[Budget 19/20]]-VPINSummary[[#This Row],[Budget 18/19]])/VPINSummary[[#This Row],[Budget 18/19]]</f>
        <v>4.8727676095396591E-2</v>
      </c>
    </row>
    <row r="35" spans="1:23">
      <c r="A35" s="8" t="s">
        <v>171</v>
      </c>
      <c r="B35" s="93">
        <f>ClubsRevenues[[#Totals],[Budget 10/11]]-ClubsExpenses[[#Totals],[Budget 10/11]]</f>
        <v>-51950.96</v>
      </c>
      <c r="C35" s="93">
        <f>ClubsRevenues[[#Totals],[Actual 10/11]]-ClubsExpenses[[#Totals],[Actual 10/11]]</f>
        <v>-37208.370000000003</v>
      </c>
      <c r="D35" s="93">
        <f>ClubsRevenues[[#Totals],[Budget 11/12]]-ClubsExpenses[[#Totals],[Budget 11/12]]</f>
        <v>-55910</v>
      </c>
      <c r="E35" s="93">
        <f>ClubsRevenues[[#Totals],[Actual 11/12]]-ClubsExpenses[[#Totals],[Actual 11/12]]</f>
        <v>-33773.5</v>
      </c>
      <c r="F35" s="93">
        <f>ClubsRevenues[[#Totals],[Budget 12/13]]-ClubsExpenses[[#Totals],[Budget 12/13]]</f>
        <v>-38426.660000000003</v>
      </c>
      <c r="G35" s="93">
        <f>ClubsRevenues[[#Totals],[Actual 12/13]]-ClubsExpenses[[#Totals],[Actual 12/13]]</f>
        <v>-50358.87</v>
      </c>
      <c r="H35" s="93">
        <f>ClubsRevenues[[#Totals],[Budget 13/14]]-ClubsExpenses[[#Totals],[Budget 13/14]]</f>
        <v>-30234.48</v>
      </c>
      <c r="I35" s="93">
        <f>ClubsRevenues[[#Totals],[Actual 13/14]]-ClubsExpenses[[#Totals],[Actual 13/14]]</f>
        <v>-38007.37000000001</v>
      </c>
      <c r="J35" s="93">
        <f>ClubsRevenues[[#Totals],[Budget 14/15]]-ClubsExpenses[[#Totals],[Budget 14/15]]</f>
        <v>-35611.83</v>
      </c>
      <c r="K35" s="93">
        <f>ClubsRevenues[[#Totals],[Actual 14/15]]-ClubsExpenses[[#Totals],[Actual 14/15]]</f>
        <v>-37731.039999999994</v>
      </c>
      <c r="L35" s="93">
        <f>ClubsRevenues[[#Totals],[Budget 15/16]]-ClubsExpenses[[#Totals],[Budget 15/16]]</f>
        <v>-37746.83</v>
      </c>
      <c r="M35" s="93">
        <f>ClubsRevenues[[#Totals],[Actual 15/16]]-ClubsExpenses[[#Totals],[Actual 15/16]]</f>
        <v>-27817.21</v>
      </c>
      <c r="N35" s="93">
        <f>ClubsRevenues[[#Totals],[Budget 16/17]]-ClubsExpenses[[#Totals],[Budget 16/17]]</f>
        <v>-40371</v>
      </c>
      <c r="O35" s="93">
        <f>ClubsRevenues[[#Totals],[Actual 16/17]]-ClubsExpenses[[#Totals],[Actual 16/17]]</f>
        <v>-40045.950000000004</v>
      </c>
      <c r="P35" s="93">
        <f>ClubsRevenues[[#Totals],[Budget 17/18]]-ClubsExpenses[[#Totals],[Budget 17/18]]</f>
        <v>-44421</v>
      </c>
      <c r="Q35" s="93">
        <f>ClubsRevenues[[#Totals],[Actual 17/18]]-ClubsExpenses[[#Totals],[Actual 17/18]]</f>
        <v>-33869.340000000004</v>
      </c>
      <c r="R35" s="93">
        <f>ClubsExpenses[[#Totals],[Budget 18/19]]</f>
        <v>35191.699999999997</v>
      </c>
      <c r="S35" s="93">
        <f>ClubsExpenses[[#Totals],[Actual 18/19]]</f>
        <v>29312.369999999995</v>
      </c>
      <c r="T35" s="93">
        <f>ClubsExpenses[[#Totals],[Budget 19/20]]</f>
        <v>30235.38</v>
      </c>
      <c r="U35" s="93"/>
      <c r="W35" s="322">
        <f>(VPINSummary[[#This Row],[Budget 19/20]]-VPINSummary[[#This Row],[Budget 18/19]])/VPINSummary[[#This Row],[Budget 18/19]]</f>
        <v>-0.14083775435685109</v>
      </c>
    </row>
    <row r="36" spans="1:23">
      <c r="A36" s="8" t="s">
        <v>172</v>
      </c>
      <c r="B36" s="93">
        <f>CRTRevenues[[#Totals],[Budget10/11]]-CRTExpenses[[#Totals],[Budget 10/11]]</f>
        <v>-8412.5</v>
      </c>
      <c r="C36" s="93">
        <f>CRTRevenues[[#Totals],[Actual 10/11]]-CRTExpenses[[#Totals],[Actual 10/11]]</f>
        <v>-7852.58</v>
      </c>
      <c r="D36" s="93">
        <f>CRTRevenues[[#Totals],[Budget 11/12]]-CRTExpenses[[#Totals],[Budget 11/12]]</f>
        <v>-14750</v>
      </c>
      <c r="E36" s="93">
        <f>CRTRevenues[[#Totals],[Actual 11/12]]-CRTExpenses[[#Totals],[Actual 11/12]]</f>
        <v>-15618.38</v>
      </c>
      <c r="F36" s="93">
        <f>CRTRevenues[[#Totals],[Budget 12/13]]-CRTExpenses[[#Totals],[Budget 12/13]]</f>
        <v>-13900</v>
      </c>
      <c r="G36" s="93">
        <f>CRTRevenues[[#Totals],[Actual 12/13]]-CRTExpenses[[#Totals],[Actual 12/13]]</f>
        <v>-13846.54</v>
      </c>
      <c r="H36" s="93">
        <f>CRTRevenues[[#Totals],[Budget 13/14]]-CRTExpenses[[#Totals],[Budget 13/14]]</f>
        <v>-18027.34</v>
      </c>
      <c r="I36" s="93">
        <f>CRTRevenues[[#Totals],[Actual 13/14]]-CRTExpenses[[#Totals],[Actual 13/14]]</f>
        <v>-18632.920000000006</v>
      </c>
      <c r="J36" s="93">
        <f>CRTRevenues[[#Totals],[Budget 14/15]]-CRTExpenses[[#Totals],[Budget 14/15]]</f>
        <v>-22027.360000000001</v>
      </c>
      <c r="K36" s="93">
        <f>CRTRevenues[[#Totals],[Actual 14/15]]-CRTExpenses[[#Totals],[Actual 14/15]]</f>
        <v>-21222.929999999997</v>
      </c>
      <c r="L36" s="93">
        <f>CRTRevenues[[#Totals],[Budget 15/16]]-CRTExpenses[[#Totals],[Budget 15/16]]</f>
        <v>-22817.360000000001</v>
      </c>
      <c r="M36" s="93">
        <f>CRTRevenues[[#Totals],[Actual 15/16]]-CRTExpenses[[#Totals],[Actual 15/16]]</f>
        <v>-18818.68</v>
      </c>
      <c r="N36" s="93">
        <f>CRTRevenues[[#Totals],[Budget 16/17]]-CRTExpenses[[#Totals],[Budget 16/17]]</f>
        <v>-16570</v>
      </c>
      <c r="O36" s="93">
        <f>CRTRevenues[[#Totals],[Actual 16/17]]-CRTExpenses[[#Totals],[Actual 16/17]]</f>
        <v>-14101.190000000002</v>
      </c>
      <c r="P36" s="93">
        <f>CRTRevenues[[#Totals],[Budget 17/18]]-CRTExpenses[[#Totals],[Budget 17/18]]</f>
        <v>-15980</v>
      </c>
      <c r="Q36" s="93">
        <f>CRTRevenues[[#Totals],[Acutal 17/18]]-CRTExpenses[[#Totals],[Actual 17/18]]</f>
        <v>-15662.2</v>
      </c>
      <c r="R36" s="93">
        <f>CRTExpenses[[#Totals],[Budget 18/19]]</f>
        <v>16040</v>
      </c>
      <c r="S36" s="93">
        <v>18758.849999999999</v>
      </c>
      <c r="T36" s="93">
        <f>CRTExpenses[[#Totals],[Budget 19/20]]</f>
        <v>14417</v>
      </c>
      <c r="U36" s="93"/>
      <c r="W36" s="322">
        <f>(VPINSummary[[#This Row],[Budget 19/20]]-VPINSummary[[#This Row],[Budget 18/19]])/VPINSummary[[#This Row],[Budget 18/19]]</f>
        <v>-0.10118453865336659</v>
      </c>
    </row>
    <row r="37" spans="1:23">
      <c r="A37" s="8" t="s">
        <v>173</v>
      </c>
      <c r="B37" s="93">
        <f>FoodbankRevenues[[#Totals],[Budget 10/11]]-FoodbankExpenses[[#Totals],[Budget 10/11]]</f>
        <v>-2907.0299999999997</v>
      </c>
      <c r="C37" s="93">
        <f>FoodbankRevenues[[#Totals],[Actual 10/11]]-FoodbankExpenses[[#Totals],[Actual 10/11]]</f>
        <v>-2466.7799999999997</v>
      </c>
      <c r="D37" s="93">
        <f>FoodbankRevenues[[#Totals],[Budget 11/12]]-FoodbankExpenses[[#Totals],[Budget 11/12]]</f>
        <v>-3857.08</v>
      </c>
      <c r="E37" s="93">
        <f>FoodbankRevenues[[#Totals],[Actual 11/12]]-FoodbankExpenses[[#Totals],[Actual 11/12]]</f>
        <v>-388.54999999999995</v>
      </c>
      <c r="F37" s="93">
        <f>FoodbankRevenues[[#Totals],[Budget 12/13]]-FoodbankExpenses[[#Totals],[Budget 12/13]]</f>
        <v>-2659.2</v>
      </c>
      <c r="G37" s="93">
        <f>FoodbankRevenues[[#Totals],[Actual 12/13]]-FoodbankExpenses[[#Totals],[Actual 12/13]]</f>
        <v>-2357.9700000000003</v>
      </c>
      <c r="H37" s="93">
        <f>FoodbankRevenues[[#Totals],[Budget 13/14]]-FoodbankExpenses[[#Totals],[Budget 13/14]]</f>
        <v>-2925</v>
      </c>
      <c r="I37" s="93">
        <f>FoodbankRevenues[[#Totals],[Actual 13/14]]-FoodbankExpenses[[#Totals],[Actual 13/14]]</f>
        <v>-2532.5500000000002</v>
      </c>
      <c r="J37" s="93">
        <f>FoodbankRevenues[[#Totals],[Budget 14/15]]-FoodbankExpenses[[#Totals],[Budget 14/15]]</f>
        <v>-3100</v>
      </c>
      <c r="K37" s="93">
        <f>FoodbankRevenues[[#Totals],[Actual 14/15]]-FoodbankExpenses[[#Totals],[Actual 14/15]]</f>
        <v>-793.1299999999992</v>
      </c>
      <c r="L37" s="93">
        <f>FoodbankRevenues[[#Totals],[Budget 15/16]]-FoodbankExpenses[[#Totals],[Budget 15/16]]</f>
        <v>-3100</v>
      </c>
      <c r="M37" s="93">
        <f>FoodbankRevenues[[#Totals],[Actual 15/16]]-FoodbankExpenses[[#Totals],[Actual 15/16]]</f>
        <v>-2694.9700000000007</v>
      </c>
      <c r="N37" s="93">
        <f>FoodbankRevenues[[#Totals],[Budget 16/17]]-FoodbankExpenses[[#Totals],[Budget 16/17]]</f>
        <v>-3275</v>
      </c>
      <c r="O37" s="93">
        <f>FoodbankRevenues[[#Totals],[Actual 16/17]]-FoodbankExpenses[[#Totals],[Actual 16/17]]</f>
        <v>-3495.5499999999997</v>
      </c>
      <c r="P37" s="93">
        <f>FoodbankRevenues[[#Totals],[Budget 17/18]]-FoodbankExpenses[[#Totals],[Budget 17/18]]</f>
        <v>-4490</v>
      </c>
      <c r="Q37" s="93">
        <f>FoodbankRevenues[[#Totals],[Actual 17/18]]-FoodbankExpenses[[#Totals],[Actual 17/18]]</f>
        <v>-3301.38</v>
      </c>
      <c r="R37" s="93">
        <f>FoodbankExpenses[[#Totals],[Budget 18/19]]</f>
        <v>4490</v>
      </c>
      <c r="S37" s="93">
        <v>4481.88</v>
      </c>
      <c r="T37" s="93">
        <f>FoodbankExpenses[[#Totals],[Budget 19/20]]</f>
        <v>3320</v>
      </c>
      <c r="U37" s="93"/>
      <c r="W37" s="322">
        <f>(VPINSummary[[#This Row],[Budget 19/20]]-VPINSummary[[#This Row],[Budget 18/19]])/VPINSummary[[#This Row],[Budget 18/19]]</f>
        <v>-0.26057906458797325</v>
      </c>
    </row>
    <row r="38" spans="1:23">
      <c r="A38" s="8" t="s">
        <v>174</v>
      </c>
      <c r="B38" s="93">
        <f>GlowRevenues[[#Totals],[Budget 10/11]]-GlowExpenses[[#Totals],[Budget 10/11]]</f>
        <v>-9551.51</v>
      </c>
      <c r="C38" s="93">
        <f>GlowRevenues[[#Totals],[Actual 10/11]]-GlowExpenses[[#Totals],[Actual 10/11]]</f>
        <v>-9436.6200000000008</v>
      </c>
      <c r="D38" s="93">
        <f>GlowRevenues[[#Totals],[Budget 11/12]]-GlowExpenses[[#Totals],[Budget 11/12]]</f>
        <v>-12640.01</v>
      </c>
      <c r="E38" s="93">
        <f>GlowRevenues[[#Totals],[Actual 11/12]]-GlowExpenses[[#Totals],[Actual 11/12]]</f>
        <v>-8024.6500000000005</v>
      </c>
      <c r="F38" s="93">
        <f>GlowRevenues[[#Totals],[Budget 12/13]]-GlowExpenses[[#Totals],[Budget 12/13]]</f>
        <v>-10835</v>
      </c>
      <c r="G38" s="93">
        <f>GlowRevenues[[#Totals],[Actual 12/13]]-GlowExpenses[[#Totals],[Actual 12/13]]</f>
        <v>-4113.09</v>
      </c>
      <c r="H38" s="93">
        <f>GlowRevenues[[#Totals],[Budget 13/14]]-GlowExpenses[[#Totals],[Budget 13/14]]</f>
        <v>-10750</v>
      </c>
      <c r="I38" s="93">
        <f>GlowRevenues[[#Totals],[Actual 13/14]]-GlowExpenses[[#Totals],[Actual 13/14]]</f>
        <v>-9375.9199999999983</v>
      </c>
      <c r="J38" s="93">
        <f>GlowRevenues[[#Totals],[Budget 14/15]]-GlowExpenses[[#Totals],[Budget 14/15]]</f>
        <v>-11065</v>
      </c>
      <c r="K38" s="93">
        <f>GlowRevenues[[#Totals],[Actual 14/15]]-GlowExpenses[[#Totals],[Actual 14/15]]</f>
        <v>-8467.2199999999993</v>
      </c>
      <c r="L38" s="93">
        <f>GlowRevenues[[#Totals],[Budget 15/16]]-GlowExpenses[[#Totals],[Budget 15/16]]</f>
        <v>-12405</v>
      </c>
      <c r="M38" s="93">
        <f>GlowRevenues[[#Totals],[Actual 15/16]]-GlowExpenses[[#Totals],[Actual 15/16]]</f>
        <v>-11884.83</v>
      </c>
      <c r="N38" s="93">
        <f>GlowRevenues[[#Totals],[Budget 16/17]]-GlowExpenses[[#Totals],[Budget 16/17]]</f>
        <v>-12035</v>
      </c>
      <c r="O38" s="93">
        <f>GlowRevenues[[#Totals],[Actual 16/17]]-GlowExpenses[[#Totals],[Actual 16/17]]</f>
        <v>-11361.8</v>
      </c>
      <c r="P38" s="93">
        <f>GlowRevenues[[#Totals],[Budget 17/18]]-GlowExpenses[[#Totals],[Budget 17/18]]</f>
        <v>-11365</v>
      </c>
      <c r="Q38" s="93">
        <f>GlowRevenues[[#Totals],[Actual 17/18]]-GlowExpenses[[#Totals],[Actual 17/18]]</f>
        <v>-11022.16</v>
      </c>
      <c r="R38" s="93">
        <f>GlowExpenses[[#Totals],[Budget 18/19]]</f>
        <v>12745</v>
      </c>
      <c r="S38" s="93">
        <v>10191.459999999999</v>
      </c>
      <c r="T38" s="93">
        <f>GlowExpenses[[#Totals],[Budget 19/20]]</f>
        <v>9940</v>
      </c>
      <c r="U38" s="93"/>
      <c r="W38" s="322">
        <f>(VPINSummary[[#This Row],[Budget 19/20]]-VPINSummary[[#This Row],[Budget 18/19]])/VPINSummary[[#This Row],[Budget 18/19]]</f>
        <v>-0.22008630835621812</v>
      </c>
    </row>
    <row r="39" spans="1:23">
      <c r="A39" s="8" t="s">
        <v>175</v>
      </c>
      <c r="B39" s="93">
        <f>SCIRevenues[[#Totals],[Budget 10/11]]-SCIExpenses[[#Totals],[Budget 10/11]]</f>
        <v>-3000</v>
      </c>
      <c r="C39" s="93">
        <f>SCIRevenues[[#Totals],[Actual 10/11]]-SCIExpenses[[#Totals],[Actual 10/11]]</f>
        <v>-3578.4699999999993</v>
      </c>
      <c r="D39" s="93">
        <f>SCIRevenues[[#Totals],[Budget 11/12]]-SCIExpenses[[#Totals],[Budget 11/12]]</f>
        <v>-8710</v>
      </c>
      <c r="E39" s="93">
        <f>SCIRevenues[[#Totals],[Actual 11/12]]-SCIExpenses[[#Totals],[Actual 11/12]]</f>
        <v>-9625.5299999999988</v>
      </c>
      <c r="F39" s="93">
        <f>SCIRevenues[[#Totals],[Budget 12/13]]-SCIExpenses[[#Totals],[Budget 12/13]]</f>
        <v>-9370</v>
      </c>
      <c r="G39" s="93">
        <f>SCIRevenues[[#Totals],[Actual 12/13]]-SCIExpenses[[#Totals],[Actual 12/13]]</f>
        <v>-7029.4</v>
      </c>
      <c r="H39" s="93">
        <f>SCIRevenues[[#Totals],[Budget 13/14]]-SCIExpenses[[#Totals],[Budget 13/14]]</f>
        <v>-7220</v>
      </c>
      <c r="I39" s="93">
        <f>SCIRevenues[[#Totals],[Actual 13/14]]-SCIExpenses[[#Totals],[Actual 13/14]]</f>
        <v>-4056.9600000000005</v>
      </c>
      <c r="J39" s="93">
        <f>SCIRevenues[[#Totals],[Budget 14/15]]-SCIExpenses[[#Totals],[Budget 14/15]]</f>
        <v>-9812</v>
      </c>
      <c r="K39" s="93">
        <f>SCIRevenues[[#Totals],[Actual 14/15]]-SCIExpenses[[#Totals],[Actual 14/15]]</f>
        <v>-8767.17</v>
      </c>
      <c r="L39" s="93">
        <f>SCIRevenues[[#Totals],[Budget 15/16]]-SCIExpenses[[#Totals],[Budget 15/16]]</f>
        <v>-8300</v>
      </c>
      <c r="M39" s="93">
        <f>SCIRevenues[[#Totals],[Actual 15/16]]-SCIExpenses[[#Totals],[Actual 15/16]]</f>
        <v>-8769.1999999999989</v>
      </c>
      <c r="N39" s="93">
        <f>SCIRevenues[[#Totals],[Budget 16/17]]-SCIExpenses[[#Totals],[Budget 16/17]]</f>
        <v>-8550</v>
      </c>
      <c r="O39" s="93">
        <f>SCIRevenues[[#Totals],[Actual 16/17]]-SCIExpenses[[#Totals],[Actual 16/17]]</f>
        <v>-5712.5700000000006</v>
      </c>
      <c r="P39" s="93">
        <f>SCIRevenues[[#Totals],[Budget 17/18]]-SCIExpenses[[#Totals],[Budget 17/18]]</f>
        <v>-6850</v>
      </c>
      <c r="Q39" s="93">
        <f>SCIRevenues[[#Totals],[Actual 17/18]]-SCIExpenses[[#Totals],[Actual 17/18]]</f>
        <v>-4989.0500000000011</v>
      </c>
      <c r="R39" s="93">
        <f>SCIExpenses[[#Totals],[Budget 18/19]]</f>
        <v>8630</v>
      </c>
      <c r="S39" s="93">
        <v>8159.71</v>
      </c>
      <c r="T39" s="93">
        <f>SCIExpenses[[#Totals],[Budget 19/20]]</f>
        <v>5800</v>
      </c>
      <c r="U39" s="93"/>
      <c r="W39" s="322">
        <f>(VPINSummary[[#This Row],[Budget 19/20]]-VPINSummary[[#This Row],[Budget 18/19]])/VPINSummary[[#This Row],[Budget 18/19]]</f>
        <v>-0.32792584009269987</v>
      </c>
    </row>
    <row r="40" spans="1:23">
      <c r="A40" s="8" t="s">
        <v>176</v>
      </c>
      <c r="B40" s="93">
        <f>OCCRevenues[[#Totals],[Budget 10/11]]-OCCExpenses[[#Totals],[Budget 10/11]]</f>
        <v>-14416.27</v>
      </c>
      <c r="C40" s="93">
        <f>OCCRevenues[[#Totals],[Actual 10/11]]-OCCExpenses[[#Totals],[Actual 10/11]]</f>
        <v>-14344.85</v>
      </c>
      <c r="D40" s="93">
        <f>OCCRevenues[[#Totals],[Budget 11/12]]-OCCExpenses[[#Totals],[Budget 11/12]]</f>
        <v>-17523</v>
      </c>
      <c r="E40" s="93">
        <f>OCCRevenues[[#Totals],[Actual 11/12]]-OCCExpenses[[#Totals],[Actual 11/12]]</f>
        <v>-7747.2199999999993</v>
      </c>
      <c r="F40" s="93">
        <f>OCCRevenues[[#Totals],[Budget 12/13]]-OCCExpenses[[#Totals],[Budget 12/13]]</f>
        <v>-7230.6</v>
      </c>
      <c r="G40" s="93">
        <f>OCCRevenues[[#Totals],[Actual 12/13]]-OCCExpenses[[#Totals],[Actual 12/13]]</f>
        <v>-5113.74</v>
      </c>
      <c r="H40" s="93">
        <f>OCCRevenues[[#Totals],[Budget 13/14]]-OCCExpenses[[#Totals],[Budget 13/14]]</f>
        <v>-7855</v>
      </c>
      <c r="I40" s="93">
        <f>OCCRevenues[[#Totals],[Actual 13/14]]-OCCExpenses[[#Totals],[Actual 13/14]]</f>
        <v>-8501.19</v>
      </c>
      <c r="J40" s="93">
        <f>OCCRevenues[[#Totals],[Budget 14/15]]-OCCExpenses[[#Totals],[Budget 14/15]]</f>
        <v>-10165</v>
      </c>
      <c r="K40" s="93">
        <f>OCCRevenues[[#Totals],[Actual 14/15]]-OCCExpenses[[#Totals],[Actual 14/15]]</f>
        <v>-12333.859999999997</v>
      </c>
      <c r="L40" s="93">
        <f>OCCRevenues[[#Totals],[Budget 15/16]]-OCCExpenses[[#Totals],[Budget 15/16]]</f>
        <v>-10455</v>
      </c>
      <c r="M40" s="93">
        <f>OCCRevenues[[#Totals],[Actual 15/16]]-OCCExpenses[[#Totals],[Actual 15/16]]</f>
        <v>-11086.369999999999</v>
      </c>
      <c r="N40" s="93">
        <f>OCCRevenues[[#Totals],[Budget 16/17]]-OCCExpenses[[#Totals],[Budget 16/17]]</f>
        <v>-9745</v>
      </c>
      <c r="O40" s="93">
        <f>OCCRevenues[[#Totals],[Actual 16/17]]-OCCExpenses[[#Totals],[Actual 16/17]]</f>
        <v>-8353</v>
      </c>
      <c r="P40" s="93">
        <f>OCCRevenues[[#Totals],[Budget 17/18]]-OCCExpenses[[#Totals],[Budget 17/18]]</f>
        <v>-8745</v>
      </c>
      <c r="Q40" s="93">
        <f>OCCRevenues[[#Totals],[Actual 17/18]]-OCCExpenses[[#Totals],[Actual 17/18]]</f>
        <v>-6306.76</v>
      </c>
      <c r="R40" s="93">
        <f>OCCExpenses[[#Totals],[Budget 18/19]]</f>
        <v>9170</v>
      </c>
      <c r="S40" s="93">
        <v>8396.1</v>
      </c>
      <c r="T40" s="93">
        <f>OCCExpenses[[#Totals],[Budget 19/20]]</f>
        <v>9155</v>
      </c>
      <c r="U40" s="93"/>
      <c r="W40" s="322">
        <f>(VPINSummary[[#This Row],[Budget 19/20]]-VPINSummary[[#This Row],[Budget 18/19]])/VPINSummary[[#This Row],[Budget 18/19]]</f>
        <v>-1.6357688113413304E-3</v>
      </c>
    </row>
    <row r="41" spans="1:23">
      <c r="A41" s="8" t="s">
        <v>177</v>
      </c>
      <c r="B41" s="93">
        <f>WomensCentreRevenues[[#Totals],[Budget 10/11]]-WomensCentreExpenses[[#Totals],[Budget 10/11]]</f>
        <v>-6562.22</v>
      </c>
      <c r="C41" s="93">
        <f>WomensCentreRevenues[[#Totals],[Actual 10/11]]-WomensCentreExpenses[[#Totals],[Actual 10/11]]</f>
        <v>-5608.36</v>
      </c>
      <c r="D41" s="93">
        <f>WomensCentreRevenues[[#Totals],[Budget 11/12]]-WomensCentreExpenses[[#Totals],[Budget 11/12]]</f>
        <v>-11322.2</v>
      </c>
      <c r="E41" s="93">
        <f>WomensCentreRevenues[[#Totals],[Actual 11/12]]-WomensCentreExpenses[[#Totals],[Actual 11/12]]</f>
        <v>-7430.66</v>
      </c>
      <c r="F41" s="93">
        <f>WomensCentreRevenues[[#Totals],[Budget 12/13]]-WomensCentreExpenses[[#Totals],[Budget 12/13]]</f>
        <v>-6025</v>
      </c>
      <c r="G41" s="93">
        <f>WomensCentreRevenues[[#Totals],[Actual 12/13]]-WomensCentreExpenses[[#Totals],[Actual 12/13]]</f>
        <v>-4635.8500000000004</v>
      </c>
      <c r="H41" s="93">
        <f>WomensCentreRevenues[[#Totals],[Budget 13/14]]-WomensCentreExpenses[[#Totals],[Budget 13/14]]</f>
        <v>-5215</v>
      </c>
      <c r="I41" s="93">
        <f>WomensCentreRevenues[[#Totals],[Actual 13/14]]-WomensCentreExpenses[[#Totals],[Actual 13/14]]</f>
        <v>-3784.5399999999995</v>
      </c>
      <c r="J41" s="93">
        <f>WomensCentreRevenues[[#Totals],[Budget 14/15]]-WomensCentreExpenses[[#Totals],[Budget 14/15]]</f>
        <v>-5075</v>
      </c>
      <c r="K41" s="93">
        <f>WomensCentreRevenues[[#Totals],[Actual 14/15]]-WomensCentreExpenses[[#Totals],[Actual 14/15]]</f>
        <v>-5421.6299999999992</v>
      </c>
      <c r="L41" s="93">
        <f>WomensCentreRevenues[[#Totals],[Budget 15/16]]-WomensCentreExpenses[[#Totals],[Budget 15/16]]</f>
        <v>-5700</v>
      </c>
      <c r="M41" s="93">
        <f>WomensCentreRevenues[[#Totals],[Actual 15/16]]-WomensCentreExpenses[[#Totals],[Actual 15/16]]</f>
        <v>-5087.5300000000007</v>
      </c>
      <c r="N41" s="93">
        <f>WomensCentreRevenues[[#Totals],[Budget 16/17]]-WomensCentreExpenses[[#Totals],[Budget 16/17]]</f>
        <v>-5950</v>
      </c>
      <c r="O41" s="93">
        <f>WomensCentreRevenues[[#Totals],[Actual 16/17]]-WomensCentreExpenses[[#Totals],[Actual 16/17]]</f>
        <v>-5282.6900000000005</v>
      </c>
      <c r="P41" s="93">
        <f>WomensCentreRevenues[[#Totals],[Budget 17/18]]-WomensCentreExpenses[[#Totals],[Budget 17/18]]</f>
        <v>-7150</v>
      </c>
      <c r="Q41" s="93">
        <f>WomensCentreRevenues[[#Totals],[Actual 17/18]]-WomensCentreExpenses[[#Totals],[Actual 17/18]]</f>
        <v>-4323.51</v>
      </c>
      <c r="R41" s="93">
        <f>WomensCentreExpenses[[#Totals],[Budget 18/19]]</f>
        <v>6510</v>
      </c>
      <c r="S41" s="93">
        <v>5238.96</v>
      </c>
      <c r="T41" s="93">
        <f>WomensCentreExpenses[[#Totals],[Budget 19/20]]</f>
        <v>6315</v>
      </c>
      <c r="U41" s="93"/>
      <c r="W41" s="322">
        <f>(VPINSummary[[#This Row],[Budget 19/20]]-VPINSummary[[#This Row],[Budget 18/19]])/VPINSummary[[#This Row],[Budget 18/19]]</f>
        <v>-2.9953917050691243E-2</v>
      </c>
    </row>
    <row r="42" spans="1:23">
      <c r="A42" s="8" t="s">
        <v>178</v>
      </c>
      <c r="B42" s="93">
        <v>0</v>
      </c>
      <c r="C42" s="93">
        <v>0</v>
      </c>
      <c r="D42" s="93">
        <v>0</v>
      </c>
      <c r="E42" s="93">
        <v>0</v>
      </c>
      <c r="F42" s="93">
        <v>0</v>
      </c>
      <c r="G42" s="93">
        <v>0</v>
      </c>
      <c r="H42" s="93">
        <v>0</v>
      </c>
      <c r="I42" s="93">
        <v>0</v>
      </c>
      <c r="J42" s="93">
        <v>0</v>
      </c>
      <c r="K42" s="93">
        <v>0</v>
      </c>
      <c r="L42" s="93">
        <f>BikeCentreRevenues[[#Totals],[Budget 15/16]]-BikeCentreExpenses[[#Totals],[Budget 15/16]]</f>
        <v>-3295</v>
      </c>
      <c r="M42" s="93">
        <f>BikeCentreRevenues[[#Totals],[Actual 15/16]]-BikeCentreExpenses[[#Totals],[Actual 15/16]]</f>
        <v>12.980000000000018</v>
      </c>
      <c r="N42" s="93">
        <f>BikeCentreRevenues[[#Totals],[Budget 16/17]]-BikeCentreExpenses[[#Totals],[Budget 16/17]]</f>
        <v>-4655</v>
      </c>
      <c r="O42" s="93">
        <f>BikeCentreRevenues[[#Totals],[Actual 16/17]]-BikeCentreExpenses[[#Totals],[Actual 16/17]]</f>
        <v>3662.7300000000005</v>
      </c>
      <c r="P42" s="93">
        <f>BikeCentreRevenues[[#Totals],[Budget 17/18]]-BikeCentreExpenses[[#Totals],[Budget 17/18]]</f>
        <v>-605</v>
      </c>
      <c r="Q42" s="93">
        <f>BikeCentreRevenues[[#Totals],[Actual 17/18]]-BikeCentreExpenses[[#Totals],[Actual 17/18]]</f>
        <v>4338.7000000000007</v>
      </c>
      <c r="R42" s="93">
        <f>BikeCentreExpenses[[#Totals],[Budget 18/19]]</f>
        <v>8200</v>
      </c>
      <c r="S42" s="93">
        <v>12937.11</v>
      </c>
      <c r="T42" s="93">
        <f>BikeCentreExpenses[[#Totals],[Budget 19/20]]</f>
        <v>11670</v>
      </c>
      <c r="U42" s="93"/>
      <c r="W42" s="322">
        <f>(VPINSummary[[#This Row],[Budget 19/20]]-VPINSummary[[#This Row],[Budget 18/19]])/VPINSummary[[#This Row],[Budget 18/19]]</f>
        <v>0.42317073170731706</v>
      </c>
    </row>
    <row r="43" spans="1:23">
      <c r="A43" s="8" t="s">
        <v>179</v>
      </c>
      <c r="B43" s="93">
        <v>0</v>
      </c>
      <c r="C43" s="93">
        <v>0</v>
      </c>
      <c r="D43" s="93">
        <v>0</v>
      </c>
      <c r="E43" s="93">
        <v>0</v>
      </c>
      <c r="F43" s="93">
        <v>0</v>
      </c>
      <c r="G43" s="93">
        <v>0</v>
      </c>
      <c r="H43" s="93">
        <v>0</v>
      </c>
      <c r="I43" s="93">
        <v>0</v>
      </c>
      <c r="J43" s="93">
        <v>0</v>
      </c>
      <c r="K43" s="93">
        <f>(ICSNRevenues[[#Totals],[Actual 14/15]]- ICSNCostofSales[[#Totals],[Actual 14/15]])-ICSNExpenses[[#Totals],[Actual 14/15]]</f>
        <v>-4919.0399999999991</v>
      </c>
      <c r="L43" s="93">
        <f>(ICSNRevenues[[#Totals],[Budget 15/16]]- ICSNCostofSales[[#Totals],[Budget 15/16]])-ICSNExpenses[[#Totals],[Budget 15/16]]</f>
        <v>-1747.3999999999996</v>
      </c>
      <c r="M43" s="93">
        <f>(ICSNRevenues[[#Totals],[Actual 15/16]]- ICSNCostofSales[[#Totals],[Actual 15/16]])-ICSNExpenses[[#Totals],[Actual 15/16]]</f>
        <v>-3125.3100000000013</v>
      </c>
      <c r="N43" s="93">
        <f>(ICSNRevenues[[#Totals],[Budget 16/17]]- ICSNCostofSales[[#Totals],[Budget 16/17]])-ICSNExpenses[[#Totals],[Budget 16/17]]</f>
        <v>-5330</v>
      </c>
      <c r="O43" s="93">
        <f>(ICSNRevenues[[#Totals],[Actuan 16/17]]- ICSNCostofSales[[#Totals],[Actual 16/17]])-ICSNExpenses[[#Totals],[Actual 16/17]]</f>
        <v>-9201.5499999999993</v>
      </c>
      <c r="P43" s="93">
        <f>(ICSNRevenues[[#Totals],[Budget 17/18]]- ICSNCostofSales[[#Totals],[Budget 17/18]])-ICSNExpenses[[#Totals],[Budget 17/18]]</f>
        <v>-6018</v>
      </c>
      <c r="Q43" s="93">
        <f>(ICSNRevenues[[#Totals],[Actual 17/18]]- ICSNCostofSales[[#Totals],[Actual 17/18]])-ICSNExpenses[[#Totals],[Actual 17/18]]</f>
        <v>-5313.0399999999936</v>
      </c>
      <c r="R43" s="93">
        <f>ICSNExpenses[[#Totals],[Budget 18/19]]</f>
        <v>5658</v>
      </c>
      <c r="S43" s="93">
        <v>25878.05</v>
      </c>
      <c r="T43" s="93">
        <f>ICSNExpenses[[#Totals],[Budget 19/20]]</f>
        <v>4154</v>
      </c>
      <c r="U43" s="93"/>
      <c r="W43" s="322">
        <f>(VPINSummary[[#This Row],[Budget 19/20]]-VPINSummary[[#This Row],[Budget 18/19]])/VPINSummary[[#This Row],[Budget 18/19]]</f>
        <v>-0.26581831035701664</v>
      </c>
    </row>
    <row r="44" spans="1:23">
      <c r="A44" s="8" t="s">
        <v>180</v>
      </c>
      <c r="B44" s="93">
        <v>0</v>
      </c>
      <c r="C44" s="93">
        <v>0</v>
      </c>
      <c r="D44" s="93">
        <v>0</v>
      </c>
      <c r="E44" s="93">
        <v>0</v>
      </c>
      <c r="F44" s="93">
        <v>0</v>
      </c>
      <c r="G44" s="93">
        <v>0</v>
      </c>
      <c r="H44" s="93">
        <v>0</v>
      </c>
      <c r="I44" s="93">
        <v>0</v>
      </c>
      <c r="J44" s="93">
        <v>0</v>
      </c>
      <c r="K44" s="93">
        <v>0</v>
      </c>
      <c r="L44" s="93">
        <f>CoopConnectionRevenues[[#Totals],[Budget 15/16]]-CoopConnectionExpenses[[#Totals],[Budget 15/16]]</f>
        <v>-3600</v>
      </c>
      <c r="M44" s="93">
        <f>CoopConnectionRevenues[[#Totals],[Actual 15/16]]-CoopConnectionExpenses[[#Totals],[Actual 15/16]]</f>
        <v>170.48999999999978</v>
      </c>
      <c r="N44" s="93">
        <f>CoopConnectionRevenues[[#Totals],[Budget 16/17]]-CoopConnectionExpenses[[#Totals],[Budget 16/17]]</f>
        <v>-6010</v>
      </c>
      <c r="O44" s="93">
        <f>CoopConnectionRevenues[[#Totals],[Actual 16/17]]-CoopConnectionExpenses[[#Totals],[Actual 16/17]]</f>
        <v>-403.15999999999985</v>
      </c>
      <c r="P44" s="93">
        <f>CoopConnectionRevenues[[#Totals],[Budget 17/18]]-CoopConnectionExpenses[[#Totals],[Budget 17/18]]</f>
        <v>-3310</v>
      </c>
      <c r="Q44" s="93">
        <f>CoopConnectionRevenues[[#Totals],[Actual 17/18]]-CoopConnectionExpenses[[#Totals],[Actual 17/18]]</f>
        <v>-5022.3899999999994</v>
      </c>
      <c r="R44" s="93">
        <f>CoopConnectionExpenses[[#Totals],[Budget 18/19]]</f>
        <v>9935</v>
      </c>
      <c r="S44" s="93">
        <v>8714.6299999999992</v>
      </c>
      <c r="T44" s="93">
        <f>CoopConnectionExpenses[[#Totals],[Budget 19/20]]</f>
        <v>10610</v>
      </c>
      <c r="U44" s="93"/>
      <c r="W44" s="322">
        <f>(VPINSummary[[#This Row],[Budget 19/20]]-VPINSummary[[#This Row],[Budget 18/19]])/VPINSummary[[#This Row],[Budget 18/19]]</f>
        <v>6.7941620533467542E-2</v>
      </c>
    </row>
    <row r="45" spans="1:23">
      <c r="A45" s="8" t="s">
        <v>181</v>
      </c>
      <c r="B45" s="93">
        <v>0</v>
      </c>
      <c r="C45" s="93">
        <v>0</v>
      </c>
      <c r="D45" s="93">
        <v>0</v>
      </c>
      <c r="E45" s="93">
        <v>0</v>
      </c>
      <c r="F45" s="93">
        <v>0</v>
      </c>
      <c r="G45" s="93">
        <v>0</v>
      </c>
      <c r="H45" s="93">
        <v>0</v>
      </c>
      <c r="I45" s="93">
        <v>0</v>
      </c>
      <c r="J45" s="93">
        <v>0</v>
      </c>
      <c r="K45" s="93">
        <v>0</v>
      </c>
      <c r="L45" s="93">
        <f>VolunteerCentreRevenues[[#Totals],[Budget 15/16]]-VolunteerCentreExpenses[[#Totals],[Budget 15/16]]</f>
        <v>-4605</v>
      </c>
      <c r="M45" s="93">
        <f>VolunteerCentreRevenues[[#Totals],[Actual 15/16]]-VolunteerCentreExpenses[[#Totals],[Actual 15/16]]</f>
        <v>-1718.33</v>
      </c>
      <c r="N45" s="93">
        <f>VolunteerCentreRevenues[[#Totals],[Budget 16/17]]-VolunteerCentreExpenses[[#Totals],[Budget 16/17]]</f>
        <v>-4050</v>
      </c>
      <c r="O45" s="93">
        <f>VolunteerCentreRevenues[[#Totals],[Actual 16/17]]-VolunteerCentreExpenses[[#Totals],[Actual 16/17]]</f>
        <v>-1848.58</v>
      </c>
      <c r="P45" s="93">
        <f>VolunteerCentreRevenues[[#Totals],[Budget 17/18]]-VolunteerCentreExpenses[[#Totals],[Budget 17/18]]</f>
        <v>-4998</v>
      </c>
      <c r="Q45" s="93">
        <f>VolunteerCentreRevenues[[#Totals],[Actual 17/18]]-VolunteerCentreExpenses[[#Totals],[Actual 17/18]]</f>
        <v>-2344.11</v>
      </c>
      <c r="R45" s="93">
        <f>VolunteerCentreExpenses[[#Totals],[Budget 18/19]]</f>
        <v>3628</v>
      </c>
      <c r="S45" s="93">
        <v>2706.3</v>
      </c>
      <c r="T45" s="93">
        <f>VolunteerCentreExpenses[[#Totals],[Budget 19/20]]</f>
        <v>1428</v>
      </c>
      <c r="U45" s="93"/>
      <c r="W45" s="322">
        <f>(VPINSummary[[#This Row],[Budget 19/20]]-VPINSummary[[#This Row],[Budget 18/19]])/VPINSummary[[#This Row],[Budget 18/19]]</f>
        <v>-0.60639470782800442</v>
      </c>
    </row>
    <row r="46" spans="1:23">
      <c r="A46" s="8" t="s">
        <v>182</v>
      </c>
      <c r="B46" s="93">
        <v>0</v>
      </c>
      <c r="C46" s="93">
        <v>0</v>
      </c>
      <c r="D46" s="93">
        <v>0</v>
      </c>
      <c r="E46" s="93">
        <v>0</v>
      </c>
      <c r="F46" s="93">
        <v>0</v>
      </c>
      <c r="G46" s="93">
        <v>0</v>
      </c>
      <c r="H46" s="93">
        <v>0</v>
      </c>
      <c r="I46" s="93">
        <v>0</v>
      </c>
      <c r="J46" s="93">
        <v>0</v>
      </c>
      <c r="K46" s="93">
        <v>0</v>
      </c>
      <c r="L46" s="93">
        <v>0</v>
      </c>
      <c r="M46" s="93">
        <v>0</v>
      </c>
      <c r="N46" s="93">
        <f>MatesRevenues[[#Totals],[Budget 16/17]]-MatesExpenses[[#Totals],[Budget 16/17]]</f>
        <v>-2450</v>
      </c>
      <c r="O46" s="93">
        <f>MatesRevenues[[#Totals],[Actual 16/17]]-MatesExpenses[[#Totals],[Actual 16/17]]</f>
        <v>-3443.92</v>
      </c>
      <c r="P46" s="93">
        <f>MatesRevenues[[#Totals],[Budget 17/18]]-MatesExpenses[[#Totals],[Budget 17/18]]</f>
        <v>-4650</v>
      </c>
      <c r="Q46" s="93">
        <f>MatesRevenues[[#Totals],[Actual 17/18]]-MatesExpenses[[#Totals],[Actual 17/18]]</f>
        <v>-5232.99</v>
      </c>
      <c r="R46" s="93">
        <f>MatesExpenses[[#Totals],[Budget 18/19]]</f>
        <v>4880</v>
      </c>
      <c r="S46" s="93">
        <v>5548.44</v>
      </c>
      <c r="T46" s="93">
        <f>MatesExpenses[[#Totals],[Budget 19/20]]</f>
        <v>6520</v>
      </c>
      <c r="U46" s="93"/>
      <c r="W46" s="322">
        <f>(VPINSummary[[#This Row],[Budget 19/20]]-VPINSummary[[#This Row],[Budget 18/19]])/VPINSummary[[#This Row],[Budget 18/19]]</f>
        <v>0.33606557377049179</v>
      </c>
    </row>
    <row r="47" spans="1:23">
      <c r="A47" s="8" t="s">
        <v>183</v>
      </c>
      <c r="B47" s="93"/>
      <c r="C47" s="93"/>
      <c r="D47" s="93"/>
      <c r="E47" s="93"/>
      <c r="F47" s="93"/>
      <c r="G47" s="93"/>
      <c r="H47" s="93"/>
      <c r="I47" s="93"/>
      <c r="J47" s="93"/>
      <c r="K47" s="93"/>
      <c r="L47" s="93"/>
      <c r="M47" s="93"/>
      <c r="N47" s="93"/>
      <c r="O47" s="93"/>
      <c r="P47" s="93"/>
      <c r="Q47" s="93"/>
      <c r="R47" s="93">
        <f>MatesExpenses5[[#Totals],[Budget 18/19]]</f>
        <v>7200</v>
      </c>
      <c r="S47" s="93">
        <v>3787.36</v>
      </c>
      <c r="T47" s="93">
        <f>MatesExpenses5[[#Totals],[Budget 19/20]]</f>
        <v>10555</v>
      </c>
      <c r="U47" s="93"/>
      <c r="W47" s="322">
        <f>(VPINSummary[[#This Row],[Budget 19/20]]-VPINSummary[[#This Row],[Budget 18/19]])/VPINSummary[[#This Row],[Budget 18/19]]</f>
        <v>0.46597222222222223</v>
      </c>
    </row>
    <row r="48" spans="1:23" ht="13.5" thickBot="1">
      <c r="A48" s="8" t="s">
        <v>184</v>
      </c>
      <c r="B48" s="93">
        <f>((SpecialEventsRevenues[[#Totals],[Budget 10/11]]- SpecialEventsCostofSales[[#Totals],[Budget 10/11]]))-SpecialEventsExpenses[[#Totals],[Budget 10/11]]</f>
        <v>-102333.7</v>
      </c>
      <c r="C48" s="93">
        <f>((SpecialEventsRevenues[[#Totals],[Actual 10/11]]- SpecialEventsCostofSales[[#Totals],[Actual 10/11]]))-SpecialEventsExpenses[[#Totals],[Actual 10/11]]</f>
        <v>-131818.63999999998</v>
      </c>
      <c r="D48" s="93">
        <f>((SpecialEventsRevenues[[#Totals],[Budget 11/12]]- SpecialEventsCostofSales[[#Totals],[Budget 11/12]]))-SpecialEventsExpenses[[#Totals],[Budget 11/12]]</f>
        <v>-113880.22</v>
      </c>
      <c r="E48" s="93">
        <f>((SpecialEventsRevenues[[#Totals],[Actual 11/12]]- SpecialEventsCostofSales[[#Totals],[Actual 11/12]]))-SpecialEventsExpenses[[#Totals],[Actual 11/12]]</f>
        <v>-131733.93</v>
      </c>
      <c r="F48" s="93">
        <f>((SpecialEventsRevenues[[#Totals],[Budget 12/13]]- SpecialEventsCostofSales[[#Totals],[Budget 12/13]]))-SpecialEventsExpenses[[#Totals],[Budget 12/13]]</f>
        <v>-94738.84</v>
      </c>
      <c r="G48" s="93">
        <f>((SpecialEventsRevenues[[#Totals],[Actual 12/13]]- SpecialEventsCostofSales[[#Totals],[Actual 12/13]]))-SpecialEventsExpenses[[#Totals],[Actual 12/13]]</f>
        <v>-96362.78</v>
      </c>
      <c r="H48" s="93">
        <f>((SpecialEventsRevenues[[#Totals],[Budget 13/14]]- SpecialEventsCostofSales[[#Totals],[Budget 13/14]]))-SpecialEventsExpenses[[#Totals],[Budget 13/14]]</f>
        <v>-95020.160000000003</v>
      </c>
      <c r="I48" s="93">
        <f>((SpecialEventsRevenues[[#Totals],[Actual 13/14]]- SpecialEventsCostofSales[[#Totals],[Actual 13/14]]))-SpecialEventsExpenses[[#Totals],[Actual 13/14]]</f>
        <v>-114714.19999999998</v>
      </c>
      <c r="J48" s="93">
        <f>((SpecialEventsRevenues[[#Totals],[Budget 14/15]]- SpecialEventsCostofSales[[#Totals],[Budget 14/15]]))-SpecialEventsExpenses[[#Totals],[Budget 14/15]]</f>
        <v>-95101.32</v>
      </c>
      <c r="K48" s="93">
        <f>((SpecialEventsRevenues[[#Totals],[Actual 14/15]]- SpecialEventsCostofSales[[#Totals],[Actual 14/15]]))-SpecialEventsExpenses[[#Totals],[Actual 14/15]]</f>
        <v>-103131.14000000001</v>
      </c>
      <c r="L48" s="93">
        <f>((SpecialEventsRevenues[[#Totals],[Budget 15/16]]- SpecialEventsCostofSales[[#Totals],[Budget 15/16]]))-SpecialEventsExpenses[[#Totals],[Budget 15/16]]</f>
        <v>-91518.32</v>
      </c>
      <c r="M48" s="93">
        <f>((SpecialEventsRevenues[[#Totals],[Actual 15/16]]- SpecialEventsCostofSales[[#Totals],[Actual 15/16]]))-SpecialEventsExpenses[[#Totals],[Actual 15/16]]</f>
        <v>-92458</v>
      </c>
      <c r="N48" s="93">
        <f>((SpecialEventsRevenues[[#Totals],[Budget 16/17]]- SpecialEventsCostofSales[[#Totals],[Budget 16/17]]))-SpecialEventsExpenses[[#Totals],[Budget 16/17]]</f>
        <v>-86130</v>
      </c>
      <c r="O48" s="93">
        <f>((SpecialEventsRevenues[[#Totals],[Actual]]- SpecialEventsCostofSales[[#Totals],[actual]]))-SpecialEventsExpenses[[#Totals],[Actual]]</f>
        <v>-78811.67</v>
      </c>
      <c r="P48" s="93">
        <f>((SpecialEventsRevenues[[#Totals],[Budget 17/18]]- SpecialEventsCostofSales[[#Totals],[Budget 17/18]]))-SpecialEventsExpenses[[#Totals],[Budget 17/18]]</f>
        <v>-86780</v>
      </c>
      <c r="Q48" s="93">
        <f>((SpecialEventsRevenues[[#Totals],[Actual 17/18]]- SpecialEventsCostofSales[[#Totals],[Actual 17/18]]))-SpecialEventsExpenses[[#Totals],[Actual 17/18]]</f>
        <v>-78547.270000000019</v>
      </c>
      <c r="R48" s="93">
        <f>SpecialEventsExpenses[[#Totals],[Budget 18/19]]</f>
        <v>107600</v>
      </c>
      <c r="S48" s="93">
        <f>SpecialEventsExpenses[[#Totals],[Actual 18/19]]</f>
        <v>94298.21</v>
      </c>
      <c r="T48" s="93">
        <f>SpecialEventsExpenses[[#Totals],[Budget 19/20]]</f>
        <v>86000</v>
      </c>
      <c r="U48" s="93"/>
      <c r="W48" s="322">
        <f>(VPINSummary[[#This Row],[Budget 19/20]]-VPINSummary[[#This Row],[Budget 18/19]])/VPINSummary[[#This Row],[Budget 18/19]]</f>
        <v>-0.20074349442379183</v>
      </c>
    </row>
    <row r="49" spans="1:23" ht="13.5" thickBot="1">
      <c r="A49" s="426" t="s">
        <v>13</v>
      </c>
      <c r="B49" s="425">
        <f>SUBTOTAL(109,VPINSummary[Budget 10/11])</f>
        <v>-262074.37</v>
      </c>
      <c r="C49" s="425">
        <f>SUBTOTAL(109,VPINSummary[Actual 10/11])</f>
        <v>-275836.37</v>
      </c>
      <c r="D49" s="425">
        <f>SUBTOTAL(109,VPINSummary[Budget 11/12])</f>
        <v>-340467.11</v>
      </c>
      <c r="E49" s="425">
        <f>SUBTOTAL(109,VPINSummary[Actual 11/12])</f>
        <v>-291166.71000000002</v>
      </c>
      <c r="F49" s="425">
        <f>SUBTOTAL(109,VPINSummary[Budget 12/13])</f>
        <v>-290029.77</v>
      </c>
      <c r="G49" s="425">
        <f>SUBTOTAL(109,VPINSummary[Actual 12/13])</f>
        <v>-259990.14</v>
      </c>
      <c r="H49" s="425">
        <f>SUBTOTAL(109,VPINSummary[Budget 13/14])</f>
        <v>-279587.98</v>
      </c>
      <c r="I49" s="425">
        <f>SUBTOTAL(109,VPINSummary[Actual 13/14])</f>
        <v>-289767.37</v>
      </c>
      <c r="J49" s="425">
        <f>SUBTOTAL(109,VPINSummary[Budget 14/15])</f>
        <v>-300491.15000000002</v>
      </c>
      <c r="K49" s="425">
        <f>SUBTOTAL(109,VPINSummary[Actual 14/15])</f>
        <v>-305508.84999999998</v>
      </c>
      <c r="L49" s="425">
        <f>SUBTOTAL(109,VPINSummary[Budget 15/16])</f>
        <v>-315387.67000000004</v>
      </c>
      <c r="M49" s="425">
        <f>SUBTOTAL(109,VPINSummary[Actual 15/16])</f>
        <v>-281178.3</v>
      </c>
      <c r="N49" s="425">
        <f>SUBTOTAL(109,VPINSummary[Budget 16/17])</f>
        <v>-326229.75</v>
      </c>
      <c r="O49" s="425">
        <f>SUBTOTAL(109,VPINSummary[Actual 16/17])</f>
        <v>-296231.68999999994</v>
      </c>
      <c r="P49" s="425">
        <f>SUBTOTAL(109,VPINSummary[Budget 17/18])</f>
        <v>-357546.98000000004</v>
      </c>
      <c r="Q49" s="425">
        <f>SUBTOTAL(109,VPINSummary[Actual 17/18])</f>
        <v>-302160.84000000003</v>
      </c>
      <c r="R49" s="425">
        <f>SUBTOTAL(109,VPINSummary[Budget 18/19])</f>
        <v>381336.38</v>
      </c>
      <c r="S49" s="425">
        <f>SUBTOTAL(109,VPINSummary[Actual 18/19])</f>
        <v>361854.86000000004</v>
      </c>
      <c r="T49" s="427">
        <f>SUBTOTAL(109,VPINSummary[Budget 19/20])</f>
        <v>354721.37283999997</v>
      </c>
      <c r="U49" s="428"/>
      <c r="W49" s="322">
        <f>(VPINSummary[[#Totals],[Budget 19/20]]-VPINSummary[[#Totals],[Budget 18/19]])/VPINSummary[[#Totals],[Budget 18/19]]</f>
        <v>-6.9794041575577018E-2</v>
      </c>
    </row>
    <row r="50" spans="1:23" ht="13.5" thickBot="1"/>
    <row r="51" spans="1:23" ht="15.75" thickBot="1">
      <c r="A51" s="328" t="s">
        <v>44</v>
      </c>
      <c r="B51" s="330"/>
      <c r="C51" s="330"/>
      <c r="D51" s="331"/>
      <c r="E51" s="331"/>
      <c r="F51" s="331"/>
      <c r="G51" s="331"/>
      <c r="H51" s="331"/>
      <c r="I51" s="331"/>
      <c r="J51" s="331"/>
      <c r="K51" s="331"/>
      <c r="L51" s="331"/>
      <c r="M51" s="331"/>
      <c r="N51" s="331"/>
      <c r="O51" s="332"/>
      <c r="P51" s="329"/>
      <c r="Q51" s="327"/>
      <c r="R51" s="327">
        <f>VPINSummary71[[#Totals],[Budget 18/19]]-VPINSummary[[#Totals],[Budget 18/19]]</f>
        <v>-328686.38</v>
      </c>
      <c r="S51" s="327">
        <f>VPINSummary71[[#Totals],[Actual 18/19]]-VPINSummary[[#Totals],[Actual 18/19]]</f>
        <v>-279868.95000000007</v>
      </c>
      <c r="T51" s="327">
        <f>VPINSummary71[[#Totals],[Budget 19/20]]-VPINSummary[[#Totals],[Budget 19/20]]</f>
        <v>-277314.79783999996</v>
      </c>
      <c r="U51" s="311"/>
      <c r="W51" s="435">
        <f>(T51-R51)/R51</f>
        <v>-0.15629361386985383</v>
      </c>
    </row>
    <row r="72" spans="1:1">
      <c r="A72" s="33"/>
    </row>
  </sheetData>
  <customSheetViews>
    <customSheetView guid="{DC934874-AE9C-4DF4-8DA8-4394DABABB42}" showRuler="0">
      <selection activeCell="G18" sqref="G18"/>
      <pageMargins left="0" right="0" top="0" bottom="0" header="0" footer="0"/>
      <pageSetup orientation="portrait"/>
      <headerFooter alignWithMargins="0"/>
    </customSheetView>
    <customSheetView guid="{7FD89B2E-4983-4B8D-ABA2-A07F685A0C6E}" showRuler="0">
      <selection activeCell="G17" sqref="G17"/>
      <pageMargins left="0" right="0" top="0" bottom="0" header="0" footer="0"/>
      <pageSetup orientation="portrait"/>
      <headerFooter alignWithMargins="0"/>
    </customSheetView>
    <customSheetView guid="{84D8AC11-A493-4338-8044-6F4154C29695}" showRuler="0">
      <selection activeCell="H13" sqref="H13"/>
      <pageMargins left="0" right="0" top="0" bottom="0" header="0" footer="0"/>
      <pageSetup orientation="portrait"/>
      <headerFooter alignWithMargins="0"/>
    </customSheetView>
    <customSheetView guid="{BB157E55-0A2E-4D9F-A3BF-E83E5442FC27}" showPageBreaks="1" showRuler="0">
      <selection activeCell="H13" sqref="H13"/>
      <pageMargins left="0" right="0" top="0" bottom="0" header="0" footer="0"/>
      <pageSetup orientation="portrait"/>
      <headerFooter alignWithMargins="0"/>
    </customSheetView>
  </customSheetViews>
  <phoneticPr fontId="0" type="noConversion"/>
  <pageMargins left="0" right="0" top="0.98425196850393704" bottom="0.98425196850393704" header="0.51181102362204722" footer="0.51181102362204722"/>
  <pageSetup scale="74" orientation="landscape" r:id="rId1"/>
  <headerFooter alignWithMargins="0"/>
  <legacy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DCAD994FE9044EA05BFCE5C1A1D71C" ma:contentTypeVersion="10" ma:contentTypeDescription="Create a new document." ma:contentTypeScope="" ma:versionID="afc3ae8dbe72c04a38952fca6b847107">
  <xsd:schema xmlns:xsd="http://www.w3.org/2001/XMLSchema" xmlns:xs="http://www.w3.org/2001/XMLSchema" xmlns:p="http://schemas.microsoft.com/office/2006/metadata/properties" xmlns:ns2="dea75841-de77-4ef6-9c12-269183dd5be3" xmlns:ns3="c2d14c94-c69a-4ebc-9055-3e69a070475d" targetNamespace="http://schemas.microsoft.com/office/2006/metadata/properties" ma:root="true" ma:fieldsID="458f8b1c7f230e568e6b8b805f49d5cf" ns2:_="" ns3:_="">
    <xsd:import namespace="dea75841-de77-4ef6-9c12-269183dd5be3"/>
    <xsd:import namespace="c2d14c94-c69a-4ebc-9055-3e69a070475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a75841-de77-4ef6-9c12-269183dd5b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20570839-c996-4c3b-b6c3-a7e349b77c3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d14c94-c69a-4ebc-9055-3e69a070475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0d3aeaa-f373-4382-a9f5-d05674ca76bc}" ma:internalName="TaxCatchAll" ma:showField="CatchAllData" ma:web="c2d14c94-c69a-4ebc-9055-3e69a070475d">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2d14c94-c69a-4ebc-9055-3e69a070475d" xsi:nil="true"/>
    <lcf76f155ced4ddcb4097134ff3c332f xmlns="dea75841-de77-4ef6-9c12-269183dd5be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229C240-C19A-4EC3-AD0A-0D82AE585087}"/>
</file>

<file path=customXml/itemProps2.xml><?xml version="1.0" encoding="utf-8"?>
<ds:datastoreItem xmlns:ds="http://schemas.openxmlformats.org/officeDocument/2006/customXml" ds:itemID="{C5E6A8FA-32B0-416B-956D-82F54A918944}"/>
</file>

<file path=customXml/itemProps3.xml><?xml version="1.0" encoding="utf-8"?>
<ds:datastoreItem xmlns:ds="http://schemas.openxmlformats.org/officeDocument/2006/customXml" ds:itemID="{63AE7934-FE98-4D10-B8B4-85C08C406536}"/>
</file>

<file path=docProps/app.xml><?xml version="1.0" encoding="utf-8"?>
<Properties xmlns="http://schemas.openxmlformats.org/officeDocument/2006/extended-properties" xmlns:vt="http://schemas.openxmlformats.org/officeDocument/2006/docPropsVTypes">
  <Application>Microsoft Excel Online</Application>
  <Manager/>
  <Company>Federation of Students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2015-2016 Budget -draft</dc:title>
  <dc:subject/>
  <dc:creator>camccready@uwaterloo.ca</dc:creator>
  <cp:keywords/>
  <dc:description/>
  <cp:lastModifiedBy/>
  <cp:revision/>
  <dcterms:created xsi:type="dcterms:W3CDTF">2003-12-16T15:19:29Z</dcterms:created>
  <dcterms:modified xsi:type="dcterms:W3CDTF">2022-09-02T19:25:05Z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0x0101003CDCAD994FE9044EA05BFCE5C1A1D71C</vt:lpwstr>
  </property>
  <property fmtid="{D5CDD505-2E9C-101B-9397-08002B2CF9AE}" pid="3" name="_dlc_DocIdItemGuid">
    <vt:lpwstr>f01735be-02b0-40cd-9fc4-646cfc605330</vt:lpwstr>
  </property>
</Properties>
</file>